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drawings/drawing3.xml" ContentType="application/vnd.openxmlformats-officedocument.drawing+xml"/>
  <Override PartName="/xl/charts/chart2.xml" ContentType="application/vnd.openxmlformats-officedocument.drawingml.chart+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drawings/drawing5.xml" ContentType="application/vnd.openxmlformats-officedocument.drawingml.chartshapes+xml"/>
  <Override PartName="/xl/charts/chart5.xml" ContentType="application/vnd.openxmlformats-officedocument.drawingml.chart+xml"/>
  <Override PartName="/xl/drawings/drawing6.xml" ContentType="application/vnd.openxmlformats-officedocument.drawingml.chartshapes+xml"/>
  <Override PartName="/xl/drawings/drawing7.xml" ContentType="application/vnd.openxmlformats-officedocument.drawing+xml"/>
  <Override PartName="/xl/drawings/drawing8.xml" ContentType="application/vnd.openxmlformats-officedocument.drawing+xml"/>
  <Override PartName="/xl/charts/chart6.xml" ContentType="application/vnd.openxmlformats-officedocument.drawingml.chart+xml"/>
  <Override PartName="/xl/charts/style1.xml" ContentType="application/vnd.ms-office.chartstyle+xml"/>
  <Override PartName="/xl/charts/colors1.xml" ContentType="application/vnd.ms-office.chartcolorstyle+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harts/chart7.xml" ContentType="application/vnd.openxmlformats-officedocument.drawingml.chart+xml"/>
  <Override PartName="/xl/charts/chart8.xml" ContentType="application/vnd.openxmlformats-officedocument.drawingml.chart+xml"/>
  <Override PartName="/xl/drawings/drawing16.xml" ContentType="application/vnd.openxmlformats-officedocument.drawing+xml"/>
  <Override PartName="/xl/charts/chart9.xml" ContentType="application/vnd.openxmlformats-officedocument.drawingml.chart+xml"/>
  <Override PartName="/xl/charts/chart10.xml" ContentType="application/vnd.openxmlformats-officedocument.drawingml.chart+xml"/>
  <Override PartName="/xl/drawings/drawing17.xml" ContentType="application/vnd.openxmlformats-officedocument.drawing+xml"/>
  <Override PartName="/xl/charts/chart11.xml" ContentType="application/vnd.openxmlformats-officedocument.drawingml.chart+xml"/>
  <Override PartName="/xl/charts/chart12.xml" ContentType="application/vnd.openxmlformats-officedocument.drawingml.chart+xml"/>
  <Override PartName="/xl/drawings/drawing18.xml" ContentType="application/vnd.openxmlformats-officedocument.drawing+xml"/>
  <Override PartName="/xl/charts/chart13.xml" ContentType="application/vnd.openxmlformats-officedocument.drawingml.chart+xml"/>
  <Override PartName="/xl/charts/chart14.xml" ContentType="application/vnd.openxmlformats-officedocument.drawingml.chart+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exmi\Documents\newer web pages\soc_388_notes\"/>
    </mc:Choice>
  </mc:AlternateContent>
  <bookViews>
    <workbookView xWindow="0" yWindow="0" windowWidth="22380" windowHeight="9312" tabRatio="893" firstSheet="5" activeTab="6"/>
  </bookViews>
  <sheets>
    <sheet name="class 1-frogs" sheetId="1" r:id="rId1"/>
    <sheet name="frogs LOR" sheetId="2" r:id="rId2"/>
    <sheet name="frogs goodness of fit" sheetId="4" r:id="rId3"/>
    <sheet name="poisson distribution" sheetId="19" r:id="rId4"/>
    <sheet name="Poisson Likelihood Fn" sheetId="20" r:id="rId5"/>
    <sheet name="Model selection Treiman china" sheetId="21" r:id="rId6"/>
    <sheet name="model selection 5x5 intermar" sheetId="22" r:id="rId7"/>
    <sheet name="model selection, ed intermar" sheetId="3" r:id="rId8"/>
    <sheet name="lin by lin assoc, ed intermar" sheetId="17" r:id="rId9"/>
    <sheet name="RC model ed intermar" sheetId="18" r:id="rId10"/>
    <sheet name="comparison group" sheetId="5" r:id="rId11"/>
    <sheet name="Coefficient interpretation, 1" sheetId="8" r:id="rId12"/>
    <sheet name="A few models for Qian's data" sheetId="14" r:id="rId13"/>
    <sheet name="3D ed interactions" sheetId="7" r:id="rId14"/>
    <sheet name="coef interp, 2 multivar model" sheetId="12" r:id="rId15"/>
    <sheet name="coef interp 3, by hand" sheetId="13" r:id="rId16"/>
    <sheet name="continuous and categorical" sheetId="15" r:id="rId17"/>
    <sheet name="clog+el models" sheetId="16" r:id="rId18"/>
    <sheet name="Death Penalty" sheetId="9" r:id="rId19"/>
    <sheet name="coef from saturated mod" sheetId="10" r:id="rId20"/>
    <sheet name="exact tests" sheetId="11" r:id="rId21"/>
  </sheets>
  <calcPr calcId="152511"/>
</workbook>
</file>

<file path=xl/calcChain.xml><?xml version="1.0" encoding="utf-8"?>
<calcChain xmlns="http://schemas.openxmlformats.org/spreadsheetml/2006/main">
  <c r="U9" i="22" l="1"/>
  <c r="T9" i="22"/>
  <c r="S9" i="22"/>
  <c r="N9" i="22"/>
  <c r="N16" i="22"/>
  <c r="O16" i="22"/>
  <c r="N11" i="22" l="1"/>
  <c r="N10" i="22"/>
  <c r="N12" i="22"/>
  <c r="N16" i="21"/>
  <c r="M16" i="21"/>
  <c r="N15" i="22" l="1"/>
  <c r="AK60" i="22"/>
  <c r="AK61" i="22"/>
  <c r="AK62" i="22"/>
  <c r="AK63" i="22"/>
  <c r="AK64" i="22"/>
  <c r="AK65" i="22"/>
  <c r="AK66" i="22"/>
  <c r="AK67" i="22"/>
  <c r="AK68" i="22"/>
  <c r="AK69" i="22"/>
  <c r="AK70" i="22"/>
  <c r="AK71" i="22"/>
  <c r="AK72" i="22"/>
  <c r="AK73" i="22"/>
  <c r="AK74" i="22"/>
  <c r="AK75" i="22"/>
  <c r="AK76" i="22"/>
  <c r="AK77" i="22"/>
  <c r="AK78" i="22"/>
  <c r="AK79" i="22"/>
  <c r="AK80" i="22"/>
  <c r="AK81" i="22"/>
  <c r="AK82" i="22"/>
  <c r="AK83" i="22"/>
  <c r="AK59" i="22"/>
  <c r="AJ60" i="22"/>
  <c r="AJ61" i="22"/>
  <c r="AJ62" i="22"/>
  <c r="AJ63" i="22"/>
  <c r="AJ64" i="22"/>
  <c r="AJ65" i="22"/>
  <c r="AJ66" i="22"/>
  <c r="AJ67" i="22"/>
  <c r="AJ68" i="22"/>
  <c r="AJ69" i="22"/>
  <c r="AJ70" i="22"/>
  <c r="AJ71" i="22"/>
  <c r="AJ72" i="22"/>
  <c r="AJ73" i="22"/>
  <c r="AJ74" i="22"/>
  <c r="AJ75" i="22"/>
  <c r="AJ76" i="22"/>
  <c r="AJ77" i="22"/>
  <c r="AJ78" i="22"/>
  <c r="AJ79" i="22"/>
  <c r="AJ80" i="22"/>
  <c r="AJ81" i="22"/>
  <c r="AJ82" i="22"/>
  <c r="AJ83" i="22"/>
  <c r="AJ59" i="22"/>
  <c r="AI84" i="22" l="1"/>
  <c r="AJ84" i="22"/>
  <c r="AK84" i="22"/>
  <c r="AH84" i="22"/>
  <c r="AL62" i="22" l="1"/>
  <c r="AL66" i="22"/>
  <c r="AL70" i="22"/>
  <c r="AL74" i="22"/>
  <c r="AL78" i="22"/>
  <c r="AL82" i="22"/>
  <c r="AL63" i="22"/>
  <c r="AL67" i="22"/>
  <c r="AL71" i="22"/>
  <c r="AL75" i="22"/>
  <c r="AL79" i="22"/>
  <c r="AL83" i="22"/>
  <c r="AL60" i="22"/>
  <c r="AL64" i="22"/>
  <c r="AL68" i="22"/>
  <c r="AL72" i="22"/>
  <c r="AL76" i="22"/>
  <c r="AL80" i="22"/>
  <c r="AL59" i="22"/>
  <c r="AL61" i="22"/>
  <c r="AL65" i="22"/>
  <c r="AL69" i="22"/>
  <c r="AL73" i="22"/>
  <c r="AL77" i="22"/>
  <c r="AL81" i="22"/>
  <c r="N19" i="22"/>
  <c r="AL84" i="22" l="1"/>
  <c r="N8" i="22"/>
  <c r="N6" i="22"/>
  <c r="H7" i="22"/>
  <c r="O11" i="22" l="1"/>
  <c r="O10" i="22"/>
  <c r="O8" i="22"/>
  <c r="O12" i="22"/>
  <c r="O15" i="22"/>
  <c r="O19" i="22"/>
  <c r="O9" i="22"/>
  <c r="O7" i="22"/>
  <c r="O6" i="22"/>
  <c r="N7" i="22"/>
  <c r="M17" i="21"/>
  <c r="M12" i="21" l="1"/>
  <c r="M11" i="21"/>
  <c r="M10" i="21"/>
  <c r="M9" i="21"/>
  <c r="M8" i="21"/>
  <c r="G8" i="21"/>
  <c r="N17" i="21" s="1"/>
  <c r="M7" i="21"/>
  <c r="K7" i="21"/>
  <c r="D57" i="21"/>
  <c r="N9" i="21" l="1"/>
  <c r="N8" i="21"/>
  <c r="N10" i="21"/>
  <c r="N12" i="21"/>
  <c r="N11" i="21"/>
  <c r="N7" i="21"/>
  <c r="B16" i="20"/>
  <c r="F15" i="20"/>
  <c r="B15" i="20"/>
  <c r="A15" i="20"/>
  <c r="A16" i="20" s="1"/>
  <c r="F14" i="20"/>
  <c r="E14" i="20"/>
  <c r="D14" i="20"/>
  <c r="C14" i="20"/>
  <c r="B14" i="20"/>
  <c r="H14" i="20" s="1"/>
  <c r="J14" i="20" s="1"/>
  <c r="F13" i="20"/>
  <c r="E13" i="20"/>
  <c r="D13" i="20"/>
  <c r="C13" i="20"/>
  <c r="B13" i="20"/>
  <c r="H13" i="20" s="1"/>
  <c r="J13" i="20" s="1"/>
  <c r="A63" i="19"/>
  <c r="A64" i="19" s="1"/>
  <c r="A65" i="19" s="1"/>
  <c r="A66" i="19" s="1"/>
  <c r="A67" i="19" s="1"/>
  <c r="A68" i="19" s="1"/>
  <c r="A69" i="19" s="1"/>
  <c r="A70" i="19" s="1"/>
  <c r="A71" i="19" s="1"/>
  <c r="A72" i="19" s="1"/>
  <c r="A73" i="19" s="1"/>
  <c r="A74" i="19" s="1"/>
  <c r="A75" i="19" s="1"/>
  <c r="A76" i="19" s="1"/>
  <c r="A77" i="19" s="1"/>
  <c r="A78" i="19" s="1"/>
  <c r="A79" i="19" s="1"/>
  <c r="A80" i="19" s="1"/>
  <c r="A81" i="19" s="1"/>
  <c r="A82" i="19" s="1"/>
  <c r="A83" i="19" s="1"/>
  <c r="A84" i="19" s="1"/>
  <c r="A85" i="19" s="1"/>
  <c r="A86" i="19" s="1"/>
  <c r="A87" i="19" s="1"/>
  <c r="A88" i="19" s="1"/>
  <c r="A89" i="19" s="1"/>
  <c r="A90" i="19" s="1"/>
  <c r="A91" i="19" s="1"/>
  <c r="A92" i="19" s="1"/>
  <c r="A93" i="19" s="1"/>
  <c r="A94" i="19" s="1"/>
  <c r="A95" i="19" s="1"/>
  <c r="D8" i="19"/>
  <c r="A8" i="19"/>
  <c r="G8" i="19" s="1"/>
  <c r="E7" i="19"/>
  <c r="D7" i="19"/>
  <c r="C7" i="19"/>
  <c r="B7" i="19"/>
  <c r="E6" i="19"/>
  <c r="D6" i="19"/>
  <c r="C6" i="19"/>
  <c r="B6" i="19"/>
  <c r="E5" i="19"/>
  <c r="E60" i="19" s="1"/>
  <c r="E61" i="19" s="1"/>
  <c r="E62" i="19" s="1"/>
  <c r="D5" i="19"/>
  <c r="D60" i="19" s="1"/>
  <c r="D61" i="19" s="1"/>
  <c r="D62" i="19" s="1"/>
  <c r="C5" i="19"/>
  <c r="C60" i="19" s="1"/>
  <c r="C61" i="19" s="1"/>
  <c r="C62" i="19" s="1"/>
  <c r="B5" i="19"/>
  <c r="B60" i="19" s="1"/>
  <c r="B61" i="19" s="1"/>
  <c r="B62" i="19" s="1"/>
  <c r="C60" i="2"/>
  <c r="C54" i="2"/>
  <c r="C48" i="2"/>
  <c r="C42" i="2"/>
  <c r="C38" i="2"/>
  <c r="A17" i="20" l="1"/>
  <c r="E16" i="20"/>
  <c r="D16" i="20"/>
  <c r="H16" i="20"/>
  <c r="J16" i="20" s="1"/>
  <c r="C16" i="20"/>
  <c r="F16" i="20"/>
  <c r="C15" i="20"/>
  <c r="H15" i="20" s="1"/>
  <c r="J15" i="20" s="1"/>
  <c r="D15" i="20"/>
  <c r="E15" i="20"/>
  <c r="E8" i="19"/>
  <c r="E63" i="19" s="1"/>
  <c r="B8" i="19"/>
  <c r="B63" i="19" s="1"/>
  <c r="A9" i="19"/>
  <c r="D63" i="19"/>
  <c r="C8" i="19"/>
  <c r="H8" i="19" s="1"/>
  <c r="J37" i="3"/>
  <c r="D30" i="3" s="1"/>
  <c r="G47" i="3"/>
  <c r="G48" i="3"/>
  <c r="G43" i="3"/>
  <c r="J10" i="18"/>
  <c r="J12" i="18"/>
  <c r="J18" i="18"/>
  <c r="J20" i="18"/>
  <c r="H48" i="3"/>
  <c r="I7" i="18"/>
  <c r="I8" i="18"/>
  <c r="I9" i="18"/>
  <c r="I10" i="18"/>
  <c r="I11" i="18"/>
  <c r="I12" i="18"/>
  <c r="I13" i="18"/>
  <c r="I14" i="18"/>
  <c r="I15" i="18"/>
  <c r="I16" i="18"/>
  <c r="I17" i="18"/>
  <c r="I18" i="18"/>
  <c r="I19" i="18"/>
  <c r="I20" i="18"/>
  <c r="I21" i="18"/>
  <c r="I6" i="18"/>
  <c r="I22" i="18" s="1"/>
  <c r="H7" i="18"/>
  <c r="H8" i="18"/>
  <c r="H9" i="18"/>
  <c r="H10" i="18"/>
  <c r="H11" i="18"/>
  <c r="H12" i="18"/>
  <c r="H13" i="18"/>
  <c r="H14" i="18"/>
  <c r="H15" i="18"/>
  <c r="H16" i="18"/>
  <c r="H17" i="18"/>
  <c r="H18" i="18"/>
  <c r="H19" i="18"/>
  <c r="H20" i="18"/>
  <c r="H21" i="18"/>
  <c r="H6" i="18"/>
  <c r="H22" i="18" s="1"/>
  <c r="G22" i="18"/>
  <c r="F22" i="18"/>
  <c r="J8" i="18" s="1"/>
  <c r="J47" i="3"/>
  <c r="H47" i="3"/>
  <c r="F70" i="17"/>
  <c r="G70" i="17"/>
  <c r="H70" i="17"/>
  <c r="F71" i="17"/>
  <c r="G71" i="17"/>
  <c r="M71" i="17" s="1"/>
  <c r="H71" i="17"/>
  <c r="M70" i="17" s="1"/>
  <c r="F72" i="17"/>
  <c r="L72" i="17" s="1"/>
  <c r="G72" i="17"/>
  <c r="M72" i="17" s="1"/>
  <c r="H72" i="17"/>
  <c r="F73" i="17"/>
  <c r="G73" i="17"/>
  <c r="H73" i="17"/>
  <c r="E71" i="17"/>
  <c r="K71" i="17" s="1"/>
  <c r="E72" i="17"/>
  <c r="E73" i="17"/>
  <c r="E70" i="17"/>
  <c r="K70" i="17" s="1"/>
  <c r="G66" i="17"/>
  <c r="L71" i="17"/>
  <c r="F58" i="17"/>
  <c r="G58" i="17"/>
  <c r="H58" i="17"/>
  <c r="F59" i="17"/>
  <c r="K58" i="17" s="1"/>
  <c r="G59" i="17"/>
  <c r="M59" i="17" s="1"/>
  <c r="H59" i="17"/>
  <c r="M58" i="17" s="1"/>
  <c r="F60" i="17"/>
  <c r="L60" i="17" s="1"/>
  <c r="G60" i="17"/>
  <c r="M60" i="17" s="1"/>
  <c r="H60" i="17"/>
  <c r="F61" i="17"/>
  <c r="G61" i="17"/>
  <c r="H61" i="17"/>
  <c r="E59" i="17"/>
  <c r="K59" i="17" s="1"/>
  <c r="E60" i="17"/>
  <c r="E61" i="17"/>
  <c r="E58" i="17"/>
  <c r="K60" i="17"/>
  <c r="L59" i="17"/>
  <c r="G40" i="17"/>
  <c r="F45" i="17"/>
  <c r="G45" i="17"/>
  <c r="M45" i="17" s="1"/>
  <c r="H45" i="17"/>
  <c r="F46" i="17"/>
  <c r="K45" i="17" s="1"/>
  <c r="G46" i="17"/>
  <c r="L45" i="17" s="1"/>
  <c r="H46" i="17"/>
  <c r="F47" i="17"/>
  <c r="G47" i="17"/>
  <c r="H47" i="17"/>
  <c r="F48" i="17"/>
  <c r="K47" i="17" s="1"/>
  <c r="G48" i="17"/>
  <c r="H48" i="17"/>
  <c r="M47" i="17" s="1"/>
  <c r="E46" i="17"/>
  <c r="K46" i="17" s="1"/>
  <c r="E47" i="17"/>
  <c r="E48" i="17"/>
  <c r="E45" i="17"/>
  <c r="L47" i="17"/>
  <c r="M46" i="17"/>
  <c r="F33" i="17"/>
  <c r="L33" i="17" s="1"/>
  <c r="G33" i="17"/>
  <c r="M33" i="17" s="1"/>
  <c r="H33" i="17"/>
  <c r="F34" i="17"/>
  <c r="L34" i="17" s="1"/>
  <c r="G34" i="17"/>
  <c r="H34" i="17"/>
  <c r="F35" i="17"/>
  <c r="G35" i="17"/>
  <c r="M35" i="17" s="1"/>
  <c r="H35" i="17"/>
  <c r="M34" i="17" s="1"/>
  <c r="F36" i="17"/>
  <c r="K35" i="17" s="1"/>
  <c r="G36" i="17"/>
  <c r="H36" i="17"/>
  <c r="E34" i="17"/>
  <c r="K34" i="17" s="1"/>
  <c r="E35" i="17"/>
  <c r="E36" i="17"/>
  <c r="E33" i="17"/>
  <c r="K33" i="17" s="1"/>
  <c r="F19" i="17"/>
  <c r="L19" i="17" s="1"/>
  <c r="G19" i="17"/>
  <c r="M19" i="17" s="1"/>
  <c r="F20" i="17"/>
  <c r="L20" i="17" s="1"/>
  <c r="G20" i="17"/>
  <c r="F21" i="17"/>
  <c r="G21" i="17"/>
  <c r="E20" i="17"/>
  <c r="K20" i="17" s="1"/>
  <c r="E21" i="17"/>
  <c r="E19" i="17"/>
  <c r="K19" i="17" s="1"/>
  <c r="F22" i="17"/>
  <c r="G22" i="17"/>
  <c r="E22" i="17"/>
  <c r="M20" i="17"/>
  <c r="K21" i="17"/>
  <c r="L21" i="17"/>
  <c r="M21" i="17"/>
  <c r="I12" i="17"/>
  <c r="D22" i="14"/>
  <c r="F22" i="14"/>
  <c r="D23" i="14"/>
  <c r="F23" i="14"/>
  <c r="F21" i="14"/>
  <c r="D21" i="14"/>
  <c r="D19" i="14"/>
  <c r="F19" i="14" s="1"/>
  <c r="D20" i="14"/>
  <c r="F20" i="14"/>
  <c r="G94" i="3"/>
  <c r="G93" i="3"/>
  <c r="H90" i="3"/>
  <c r="H91" i="3"/>
  <c r="D28" i="3"/>
  <c r="C148" i="2"/>
  <c r="E148" i="2" s="1"/>
  <c r="C147" i="2"/>
  <c r="C151" i="2" s="1"/>
  <c r="D149" i="2"/>
  <c r="C138" i="2"/>
  <c r="E134" i="2"/>
  <c r="E136" i="2" s="1"/>
  <c r="E135" i="2"/>
  <c r="D136" i="2"/>
  <c r="C136" i="2"/>
  <c r="D31" i="4"/>
  <c r="D25" i="4"/>
  <c r="D24" i="4"/>
  <c r="B24" i="4" s="1"/>
  <c r="G49" i="15"/>
  <c r="G50" i="15"/>
  <c r="G51" i="15"/>
  <c r="G52" i="15"/>
  <c r="G48" i="15"/>
  <c r="F49" i="15"/>
  <c r="F50" i="15"/>
  <c r="F51" i="15"/>
  <c r="F52" i="15"/>
  <c r="F48" i="15"/>
  <c r="E49" i="15"/>
  <c r="E50" i="15"/>
  <c r="E51" i="15"/>
  <c r="E52" i="15"/>
  <c r="E48" i="15"/>
  <c r="G12" i="15"/>
  <c r="G13" i="15"/>
  <c r="G14" i="15"/>
  <c r="G15" i="15"/>
  <c r="G11" i="15"/>
  <c r="F12" i="15"/>
  <c r="F13" i="15"/>
  <c r="F14" i="15"/>
  <c r="F15" i="15"/>
  <c r="F11" i="15"/>
  <c r="C11" i="15"/>
  <c r="E12" i="15"/>
  <c r="E13" i="15"/>
  <c r="E14" i="15"/>
  <c r="E11" i="15"/>
  <c r="O25" i="9"/>
  <c r="O20" i="9"/>
  <c r="I20" i="9"/>
  <c r="E20" i="9"/>
  <c r="O24" i="9"/>
  <c r="O18" i="9"/>
  <c r="F15" i="14"/>
  <c r="F16" i="14"/>
  <c r="F17" i="14"/>
  <c r="F13" i="14"/>
  <c r="D13" i="14"/>
  <c r="D15" i="14"/>
  <c r="D16" i="14"/>
  <c r="D17" i="14"/>
  <c r="D14" i="14"/>
  <c r="F14" i="14" s="1"/>
  <c r="J44" i="3"/>
  <c r="G44" i="3"/>
  <c r="H44" i="3"/>
  <c r="E44" i="3"/>
  <c r="B91" i="2"/>
  <c r="B92" i="2" s="1"/>
  <c r="J43" i="4"/>
  <c r="J42" i="4"/>
  <c r="F42" i="4"/>
  <c r="F43" i="4"/>
  <c r="F41" i="4"/>
  <c r="O38" i="13"/>
  <c r="N38" i="13"/>
  <c r="M38" i="13"/>
  <c r="L38" i="13"/>
  <c r="K38" i="13"/>
  <c r="O37" i="13"/>
  <c r="N37" i="13"/>
  <c r="M37" i="13"/>
  <c r="M54" i="13" s="1"/>
  <c r="L37" i="13"/>
  <c r="K37" i="13"/>
  <c r="O36" i="13"/>
  <c r="N36" i="13"/>
  <c r="M36" i="13"/>
  <c r="L36" i="13"/>
  <c r="K36" i="13"/>
  <c r="O35" i="13"/>
  <c r="O52" i="13" s="1"/>
  <c r="N35" i="13"/>
  <c r="M35" i="13"/>
  <c r="L35" i="13"/>
  <c r="K35" i="13"/>
  <c r="O34" i="13"/>
  <c r="N34" i="13"/>
  <c r="M34" i="13"/>
  <c r="L34" i="13"/>
  <c r="L51" i="13" s="1"/>
  <c r="K34" i="13"/>
  <c r="P40" i="13" s="1"/>
  <c r="C35" i="13"/>
  <c r="D35" i="13"/>
  <c r="E35" i="13"/>
  <c r="F35" i="13"/>
  <c r="G35" i="13"/>
  <c r="C36" i="13"/>
  <c r="D36" i="13"/>
  <c r="E36" i="13"/>
  <c r="F36" i="13"/>
  <c r="G36" i="13"/>
  <c r="C37" i="13"/>
  <c r="D37" i="13"/>
  <c r="E37" i="13"/>
  <c r="F37" i="13"/>
  <c r="G37" i="13"/>
  <c r="C38" i="13"/>
  <c r="D38" i="13"/>
  <c r="E38" i="13"/>
  <c r="F38" i="13"/>
  <c r="G38" i="13"/>
  <c r="D34" i="13"/>
  <c r="E34" i="13"/>
  <c r="F34" i="13"/>
  <c r="G34" i="13"/>
  <c r="C34" i="13"/>
  <c r="P25" i="13"/>
  <c r="H25" i="13"/>
  <c r="J55" i="12"/>
  <c r="B75" i="12" s="1"/>
  <c r="C55" i="12"/>
  <c r="K55" i="12"/>
  <c r="D55" i="12"/>
  <c r="C75" i="12"/>
  <c r="L55" i="12"/>
  <c r="D75" i="12" s="1"/>
  <c r="E55" i="12"/>
  <c r="K56" i="12"/>
  <c r="D56" i="12"/>
  <c r="C76" i="12"/>
  <c r="L56" i="12"/>
  <c r="D76" i="12" s="1"/>
  <c r="E56" i="12"/>
  <c r="M56" i="12"/>
  <c r="E76" i="12" s="1"/>
  <c r="F56" i="12"/>
  <c r="L57" i="12"/>
  <c r="E57" i="12"/>
  <c r="D77" i="12"/>
  <c r="M57" i="12"/>
  <c r="E77" i="12" s="1"/>
  <c r="F57" i="12"/>
  <c r="N57" i="12"/>
  <c r="G57" i="12"/>
  <c r="F77" i="12"/>
  <c r="J58" i="12"/>
  <c r="C58" i="12"/>
  <c r="B78" i="12"/>
  <c r="M58" i="12"/>
  <c r="E78" i="12" s="1"/>
  <c r="F58" i="12"/>
  <c r="N58" i="12"/>
  <c r="G58" i="12"/>
  <c r="F78" i="12"/>
  <c r="K54" i="12"/>
  <c r="C74" i="12" s="1"/>
  <c r="D54" i="12"/>
  <c r="L54" i="12"/>
  <c r="D74" i="12" s="1"/>
  <c r="E54" i="12"/>
  <c r="N54" i="12"/>
  <c r="G54" i="12"/>
  <c r="F74" i="12"/>
  <c r="J54" i="12"/>
  <c r="B74" i="12" s="1"/>
  <c r="C54" i="12"/>
  <c r="G63" i="12"/>
  <c r="G41" i="12"/>
  <c r="N32" i="12"/>
  <c r="G32" i="12"/>
  <c r="E63" i="12"/>
  <c r="E41" i="12"/>
  <c r="E32" i="12"/>
  <c r="E18" i="12"/>
  <c r="E9" i="12"/>
  <c r="E66" i="12"/>
  <c r="F65" i="12"/>
  <c r="E44" i="12"/>
  <c r="F43" i="12"/>
  <c r="E35" i="12"/>
  <c r="F34" i="12"/>
  <c r="E21" i="12"/>
  <c r="F20" i="12"/>
  <c r="E12" i="12"/>
  <c r="F11" i="12"/>
  <c r="F67" i="12"/>
  <c r="G66" i="12"/>
  <c r="F45" i="12"/>
  <c r="G44" i="12"/>
  <c r="F36" i="12"/>
  <c r="G35" i="12"/>
  <c r="F22" i="12"/>
  <c r="G21" i="12"/>
  <c r="G12" i="12"/>
  <c r="F13" i="12"/>
  <c r="C64" i="12"/>
  <c r="D63" i="12"/>
  <c r="C42" i="12"/>
  <c r="D41" i="12"/>
  <c r="C33" i="12"/>
  <c r="D32" i="12"/>
  <c r="C19" i="12"/>
  <c r="D18" i="12"/>
  <c r="C10" i="12"/>
  <c r="D9" i="12"/>
  <c r="D65" i="12"/>
  <c r="E64" i="12"/>
  <c r="D43" i="12"/>
  <c r="E42" i="12"/>
  <c r="D34" i="12"/>
  <c r="E33" i="12"/>
  <c r="D20" i="12"/>
  <c r="E19" i="12"/>
  <c r="D11" i="12"/>
  <c r="E10" i="12"/>
  <c r="C67" i="12"/>
  <c r="C45" i="12"/>
  <c r="C36" i="12"/>
  <c r="C22" i="12"/>
  <c r="G18" i="12"/>
  <c r="C13" i="12"/>
  <c r="G9" i="12"/>
  <c r="L35" i="12"/>
  <c r="M34" i="12"/>
  <c r="L12" i="12"/>
  <c r="M11" i="12"/>
  <c r="M36" i="12"/>
  <c r="N35" i="12"/>
  <c r="N12" i="12"/>
  <c r="M13" i="12"/>
  <c r="J33" i="12"/>
  <c r="K32" i="12"/>
  <c r="J10" i="12"/>
  <c r="K9" i="12"/>
  <c r="K34" i="12"/>
  <c r="L33" i="12"/>
  <c r="K11" i="12"/>
  <c r="L10" i="12"/>
  <c r="J36" i="12"/>
  <c r="J13" i="12"/>
  <c r="N9" i="12"/>
  <c r="G36" i="12"/>
  <c r="F35" i="12"/>
  <c r="E34" i="12"/>
  <c r="D33" i="12"/>
  <c r="G13" i="12"/>
  <c r="F12" i="12"/>
  <c r="C32" i="12"/>
  <c r="C9" i="12"/>
  <c r="N36" i="12"/>
  <c r="L34" i="12"/>
  <c r="K33" i="12"/>
  <c r="J32" i="12"/>
  <c r="M35" i="12"/>
  <c r="M12" i="12"/>
  <c r="L11" i="12"/>
  <c r="E11" i="12"/>
  <c r="K10" i="12"/>
  <c r="D10" i="12"/>
  <c r="G67" i="12"/>
  <c r="F66" i="12"/>
  <c r="F44" i="12"/>
  <c r="E65" i="12"/>
  <c r="D64" i="12"/>
  <c r="D42" i="12"/>
  <c r="C63" i="12"/>
  <c r="C41" i="12"/>
  <c r="G45" i="12"/>
  <c r="G22" i="12"/>
  <c r="F21" i="12"/>
  <c r="E43" i="12"/>
  <c r="E20" i="12"/>
  <c r="D19" i="12"/>
  <c r="C18" i="12"/>
  <c r="L32" i="12"/>
  <c r="N13" i="12"/>
  <c r="L9" i="12"/>
  <c r="J9" i="12"/>
  <c r="D11" i="11"/>
  <c r="B11" i="11"/>
  <c r="C11" i="11" s="1"/>
  <c r="D46" i="11"/>
  <c r="B58" i="11"/>
  <c r="C58" i="11"/>
  <c r="F58" i="11" s="1"/>
  <c r="D58" i="11"/>
  <c r="B46" i="11"/>
  <c r="C46" i="11" s="1"/>
  <c r="B34" i="11"/>
  <c r="C34" i="11" s="1"/>
  <c r="D34" i="11"/>
  <c r="B23" i="11"/>
  <c r="C23" i="11"/>
  <c r="E23" i="11" s="1"/>
  <c r="D23" i="11"/>
  <c r="F23" i="11"/>
  <c r="O113" i="10"/>
  <c r="L15" i="10"/>
  <c r="I24" i="9"/>
  <c r="E24" i="9"/>
  <c r="E25" i="9"/>
  <c r="I23" i="9"/>
  <c r="E23" i="9"/>
  <c r="I21" i="9"/>
  <c r="E21" i="9"/>
  <c r="E22" i="9"/>
  <c r="I22" i="9"/>
  <c r="I18" i="9"/>
  <c r="E18" i="9"/>
  <c r="E19" i="9"/>
  <c r="E17" i="9"/>
  <c r="I17" i="9"/>
  <c r="I19" i="9"/>
  <c r="H11" i="8"/>
  <c r="F18" i="8"/>
  <c r="D18" i="8"/>
  <c r="H18" i="8" s="1"/>
  <c r="L26" i="8"/>
  <c r="M26" i="8"/>
  <c r="N25" i="8"/>
  <c r="O24" i="8"/>
  <c r="M24" i="8"/>
  <c r="O23" i="8"/>
  <c r="N23" i="8"/>
  <c r="L23" i="8"/>
  <c r="F11" i="8"/>
  <c r="F12" i="8"/>
  <c r="F13" i="8"/>
  <c r="F14" i="8"/>
  <c r="F15" i="8"/>
  <c r="F16" i="8"/>
  <c r="F17" i="8"/>
  <c r="F10" i="8"/>
  <c r="H15" i="8"/>
  <c r="H16" i="8"/>
  <c r="H17" i="8"/>
  <c r="D17" i="8"/>
  <c r="D16" i="8"/>
  <c r="D15" i="8"/>
  <c r="D14" i="8"/>
  <c r="H14" i="8" s="1"/>
  <c r="D13" i="8"/>
  <c r="H13" i="8" s="1"/>
  <c r="D12" i="8"/>
  <c r="H12" i="8" s="1"/>
  <c r="D10" i="8"/>
  <c r="H10" i="8" s="1"/>
  <c r="D9" i="8"/>
  <c r="H9" i="8" s="1"/>
  <c r="F8" i="7"/>
  <c r="J8" i="7"/>
  <c r="J27" i="7"/>
  <c r="K26" i="7"/>
  <c r="K25" i="7"/>
  <c r="H28" i="7"/>
  <c r="H25" i="7"/>
  <c r="F57" i="3"/>
  <c r="F27" i="3"/>
  <c r="G45" i="3"/>
  <c r="J43" i="3"/>
  <c r="J42" i="3"/>
  <c r="J40" i="3"/>
  <c r="J41" i="3"/>
  <c r="J45" i="3"/>
  <c r="J48" i="3" s="1"/>
  <c r="I48" i="3" s="1"/>
  <c r="J39" i="3"/>
  <c r="J27" i="3" s="1"/>
  <c r="J38" i="3"/>
  <c r="J36" i="3"/>
  <c r="E41" i="3"/>
  <c r="H41" i="3"/>
  <c r="D60" i="3"/>
  <c r="C60" i="3"/>
  <c r="E40" i="3"/>
  <c r="H40" i="3"/>
  <c r="E42" i="3"/>
  <c r="H42" i="3"/>
  <c r="E43" i="3"/>
  <c r="H43" i="3"/>
  <c r="G40" i="3"/>
  <c r="G27" i="3" s="1"/>
  <c r="G41" i="3"/>
  <c r="G42" i="3"/>
  <c r="E45" i="3"/>
  <c r="H45" i="3" s="1"/>
  <c r="E39" i="3"/>
  <c r="H39" i="3" s="1"/>
  <c r="G39" i="3"/>
  <c r="E38" i="3"/>
  <c r="H38" i="3"/>
  <c r="G38" i="3"/>
  <c r="D29" i="3" s="1"/>
  <c r="E37" i="3"/>
  <c r="H37" i="3" s="1"/>
  <c r="G37" i="3"/>
  <c r="E36" i="3"/>
  <c r="H36" i="3"/>
  <c r="D124" i="2"/>
  <c r="C124" i="2"/>
  <c r="B124" i="2"/>
  <c r="E114" i="2"/>
  <c r="E115" i="2"/>
  <c r="C116" i="2"/>
  <c r="D116" i="2"/>
  <c r="E116" i="2"/>
  <c r="B125" i="2"/>
  <c r="C125" i="2"/>
  <c r="C29" i="1"/>
  <c r="E31" i="4"/>
  <c r="D32" i="4"/>
  <c r="E32" i="4"/>
  <c r="B31" i="4"/>
  <c r="E24" i="4"/>
  <c r="E25" i="4"/>
  <c r="F9" i="7"/>
  <c r="J9" i="7" s="1"/>
  <c r="H9" i="7"/>
  <c r="F10" i="7"/>
  <c r="H10" i="7"/>
  <c r="J10" i="7"/>
  <c r="F11" i="7"/>
  <c r="J11" i="7" s="1"/>
  <c r="H11" i="7"/>
  <c r="F12" i="7"/>
  <c r="J12" i="7" s="1"/>
  <c r="H12" i="7"/>
  <c r="F13" i="7"/>
  <c r="H13" i="7"/>
  <c r="J13" i="7"/>
  <c r="F14" i="7"/>
  <c r="J14" i="7" s="1"/>
  <c r="H14" i="7"/>
  <c r="F15" i="7"/>
  <c r="H15" i="7"/>
  <c r="J15" i="7"/>
  <c r="F22" i="7"/>
  <c r="J25" i="7"/>
  <c r="I26" i="7"/>
  <c r="I28" i="7"/>
  <c r="D42" i="7" s="1"/>
  <c r="D41" i="7"/>
  <c r="B41" i="7"/>
  <c r="E41" i="7"/>
  <c r="D43" i="7"/>
  <c r="E43" i="7" s="1"/>
  <c r="B43" i="7"/>
  <c r="D48" i="7"/>
  <c r="E48" i="7" s="1"/>
  <c r="D50" i="7"/>
  <c r="E50" i="7"/>
  <c r="D51" i="7"/>
  <c r="E51" i="7"/>
  <c r="D71" i="2"/>
  <c r="E9" i="1"/>
  <c r="E11" i="1" s="1"/>
  <c r="E10" i="1"/>
  <c r="C30" i="1"/>
  <c r="D30" i="1"/>
  <c r="D29" i="1"/>
  <c r="E31" i="1"/>
  <c r="D11" i="1"/>
  <c r="C11" i="1"/>
  <c r="C23" i="2"/>
  <c r="C32" i="2" s="1"/>
  <c r="C31" i="2"/>
  <c r="C70" i="2"/>
  <c r="C76" i="2" s="1"/>
  <c r="C65" i="2"/>
  <c r="E21" i="2"/>
  <c r="E22" i="2"/>
  <c r="E23" i="2"/>
  <c r="D23" i="2"/>
  <c r="C4" i="2"/>
  <c r="C5" i="2"/>
  <c r="C6" i="2"/>
  <c r="C7" i="2"/>
  <c r="C8" i="2"/>
  <c r="C9" i="2"/>
  <c r="C10" i="2"/>
  <c r="C11" i="2"/>
  <c r="C12" i="2"/>
  <c r="C13" i="2"/>
  <c r="C3" i="2"/>
  <c r="H12" i="3"/>
  <c r="A18" i="20" l="1"/>
  <c r="E17" i="20"/>
  <c r="D17" i="20"/>
  <c r="C17" i="20"/>
  <c r="F17" i="20"/>
  <c r="B17" i="20"/>
  <c r="H17" i="20" s="1"/>
  <c r="J17" i="20" s="1"/>
  <c r="C63" i="19"/>
  <c r="C64" i="19" s="1"/>
  <c r="D9" i="19"/>
  <c r="D64" i="19" s="1"/>
  <c r="C9" i="19"/>
  <c r="B9" i="19"/>
  <c r="B64" i="19" s="1"/>
  <c r="E9" i="19"/>
  <c r="E64" i="19" s="1"/>
  <c r="A10" i="19"/>
  <c r="D19" i="1"/>
  <c r="D20" i="1"/>
  <c r="D41" i="1"/>
  <c r="C20" i="1"/>
  <c r="E20" i="1" s="1"/>
  <c r="C40" i="1"/>
  <c r="D40" i="1"/>
  <c r="D42" i="1" s="1"/>
  <c r="C19" i="1"/>
  <c r="F46" i="11"/>
  <c r="E46" i="11"/>
  <c r="M52" i="13"/>
  <c r="K54" i="13"/>
  <c r="N55" i="13"/>
  <c r="N54" i="13"/>
  <c r="L53" i="13"/>
  <c r="O54" i="13"/>
  <c r="N51" i="13"/>
  <c r="M51" i="13"/>
  <c r="M53" i="13"/>
  <c r="K55" i="13"/>
  <c r="O51" i="13"/>
  <c r="K53" i="13"/>
  <c r="N52" i="13"/>
  <c r="L54" i="13"/>
  <c r="O55" i="13"/>
  <c r="B42" i="7"/>
  <c r="E42" i="7"/>
  <c r="F11" i="11"/>
  <c r="E11" i="11"/>
  <c r="C41" i="1"/>
  <c r="E41" i="1" s="1"/>
  <c r="K52" i="13"/>
  <c r="N53" i="13"/>
  <c r="L55" i="13"/>
  <c r="H38" i="7"/>
  <c r="E34" i="11"/>
  <c r="F34" i="11"/>
  <c r="L52" i="13"/>
  <c r="O53" i="13"/>
  <c r="M55" i="13"/>
  <c r="K72" i="17"/>
  <c r="F30" i="7"/>
  <c r="J38" i="7" s="1"/>
  <c r="E58" i="11"/>
  <c r="K51" i="13"/>
  <c r="L58" i="17"/>
  <c r="L70" i="17"/>
  <c r="J15" i="18"/>
  <c r="J7" i="18"/>
  <c r="E147" i="2"/>
  <c r="E149" i="2" s="1"/>
  <c r="J6" i="18"/>
  <c r="J14" i="18"/>
  <c r="C149" i="2"/>
  <c r="L46" i="17"/>
  <c r="J21" i="18"/>
  <c r="J13" i="18"/>
  <c r="L35" i="17"/>
  <c r="J19" i="18"/>
  <c r="J11" i="18"/>
  <c r="J17" i="18"/>
  <c r="J9" i="18"/>
  <c r="H40" i="13"/>
  <c r="J16" i="18"/>
  <c r="A19" i="20" l="1"/>
  <c r="E18" i="20"/>
  <c r="D18" i="20"/>
  <c r="C18" i="20"/>
  <c r="B18" i="20"/>
  <c r="H18" i="20" s="1"/>
  <c r="J18" i="20" s="1"/>
  <c r="F18" i="20"/>
  <c r="C65" i="19"/>
  <c r="C10" i="19"/>
  <c r="A11" i="19"/>
  <c r="B10" i="19"/>
  <c r="B65" i="19" s="1"/>
  <c r="E10" i="19"/>
  <c r="E65" i="19" s="1"/>
  <c r="D10" i="19"/>
  <c r="D65" i="19" s="1"/>
  <c r="D51" i="13"/>
  <c r="C54" i="13"/>
  <c r="E54" i="13"/>
  <c r="F52" i="13"/>
  <c r="D54" i="13"/>
  <c r="G55" i="13"/>
  <c r="C53" i="13"/>
  <c r="F54" i="13"/>
  <c r="E51" i="13"/>
  <c r="E52" i="13"/>
  <c r="F55" i="13"/>
  <c r="G52" i="13"/>
  <c r="M75" i="13"/>
  <c r="P54" i="13"/>
  <c r="M74" i="13" s="1"/>
  <c r="E21" i="1"/>
  <c r="E19" i="1"/>
  <c r="C21" i="1"/>
  <c r="O73" i="13"/>
  <c r="I41" i="7"/>
  <c r="K56" i="13"/>
  <c r="P51" i="13"/>
  <c r="G53" i="13"/>
  <c r="P52" i="13"/>
  <c r="O72" i="13" s="1"/>
  <c r="K75" i="13"/>
  <c r="P55" i="13"/>
  <c r="C55" i="13"/>
  <c r="D55" i="13"/>
  <c r="P53" i="13"/>
  <c r="M73" i="13" s="1"/>
  <c r="K73" i="13"/>
  <c r="C52" i="13"/>
  <c r="E53" i="13"/>
  <c r="E55" i="13"/>
  <c r="G51" i="13"/>
  <c r="C51" i="13"/>
  <c r="C42" i="1"/>
  <c r="E40" i="1"/>
  <c r="E42" i="1" s="1"/>
  <c r="D52" i="13"/>
  <c r="O56" i="13"/>
  <c r="J22" i="18"/>
  <c r="I38" i="7"/>
  <c r="K40" i="7"/>
  <c r="K38" i="7"/>
  <c r="H39" i="7"/>
  <c r="H41" i="7"/>
  <c r="H40" i="7"/>
  <c r="K39" i="7"/>
  <c r="I39" i="7"/>
  <c r="J39" i="7"/>
  <c r="I40" i="7"/>
  <c r="J41" i="7"/>
  <c r="J40" i="7"/>
  <c r="K41" i="7"/>
  <c r="D53" i="13"/>
  <c r="M56" i="13"/>
  <c r="F51" i="13"/>
  <c r="D21" i="1"/>
  <c r="L75" i="13"/>
  <c r="L56" i="13"/>
  <c r="L74" i="13" s="1"/>
  <c r="F53" i="13"/>
  <c r="G54" i="13"/>
  <c r="O75" i="13"/>
  <c r="N56" i="13"/>
  <c r="N71" i="13" s="1"/>
  <c r="N75" i="13"/>
  <c r="A20" i="20" l="1"/>
  <c r="E19" i="20"/>
  <c r="D19" i="20"/>
  <c r="H19" i="20"/>
  <c r="J19" i="20" s="1"/>
  <c r="C19" i="20"/>
  <c r="F19" i="20"/>
  <c r="B19" i="20"/>
  <c r="C66" i="19"/>
  <c r="A12" i="19"/>
  <c r="B11" i="19"/>
  <c r="B66" i="19" s="1"/>
  <c r="E11" i="19"/>
  <c r="E66" i="19" s="1"/>
  <c r="D11" i="19"/>
  <c r="D66" i="19" s="1"/>
  <c r="C11" i="19"/>
  <c r="M72" i="13"/>
  <c r="F74" i="13"/>
  <c r="N74" i="13"/>
  <c r="N73" i="13"/>
  <c r="K72" i="13"/>
  <c r="L73" i="13"/>
  <c r="O74" i="13"/>
  <c r="H53" i="13"/>
  <c r="D73" i="13" s="1"/>
  <c r="C73" i="13"/>
  <c r="S73" i="13" s="1"/>
  <c r="L71" i="13"/>
  <c r="N72" i="13"/>
  <c r="G73" i="13"/>
  <c r="W73" i="13" s="1"/>
  <c r="D74" i="13"/>
  <c r="T74" i="13" s="1"/>
  <c r="G56" i="13"/>
  <c r="F75" i="13"/>
  <c r="E74" i="13"/>
  <c r="U74" i="13" s="1"/>
  <c r="V75" i="13"/>
  <c r="G75" i="13"/>
  <c r="W75" i="13" s="1"/>
  <c r="F56" i="13"/>
  <c r="C56" i="13"/>
  <c r="H51" i="13"/>
  <c r="E71" i="13" s="1"/>
  <c r="G74" i="13"/>
  <c r="M71" i="13"/>
  <c r="H55" i="13"/>
  <c r="C75" i="13" s="1"/>
  <c r="S75" i="13" s="1"/>
  <c r="K71" i="13"/>
  <c r="H54" i="13"/>
  <c r="C74" i="13"/>
  <c r="H52" i="13"/>
  <c r="D72" i="13" s="1"/>
  <c r="L72" i="13"/>
  <c r="O71" i="13"/>
  <c r="E75" i="13"/>
  <c r="U75" i="13" s="1"/>
  <c r="K74" i="13"/>
  <c r="S74" i="13" s="1"/>
  <c r="E56" i="13"/>
  <c r="D56" i="13"/>
  <c r="D75" i="13" s="1"/>
  <c r="T75" i="13" s="1"/>
  <c r="A21" i="20" l="1"/>
  <c r="E20" i="20"/>
  <c r="D20" i="20"/>
  <c r="C20" i="20"/>
  <c r="F20" i="20"/>
  <c r="B20" i="20"/>
  <c r="H20" i="20" s="1"/>
  <c r="J20" i="20" s="1"/>
  <c r="C67" i="19"/>
  <c r="E12" i="19"/>
  <c r="E67" i="19" s="1"/>
  <c r="D12" i="19"/>
  <c r="D67" i="19" s="1"/>
  <c r="C12" i="19"/>
  <c r="B12" i="19"/>
  <c r="B67" i="19" s="1"/>
  <c r="A13" i="19"/>
  <c r="U71" i="13"/>
  <c r="F73" i="13"/>
  <c r="V73" i="13" s="1"/>
  <c r="F72" i="13"/>
  <c r="V72" i="13" s="1"/>
  <c r="E73" i="13"/>
  <c r="U73" i="13" s="1"/>
  <c r="W74" i="13"/>
  <c r="S71" i="13"/>
  <c r="G72" i="13"/>
  <c r="W72" i="13" s="1"/>
  <c r="C71" i="13"/>
  <c r="D71" i="13"/>
  <c r="T72" i="13"/>
  <c r="F71" i="13"/>
  <c r="V71" i="13" s="1"/>
  <c r="G71" i="13"/>
  <c r="W71" i="13" s="1"/>
  <c r="T71" i="13"/>
  <c r="V74" i="13"/>
  <c r="T73" i="13"/>
  <c r="E72" i="13"/>
  <c r="U72" i="13" s="1"/>
  <c r="C72" i="13"/>
  <c r="S72" i="13" s="1"/>
  <c r="A22" i="20" l="1"/>
  <c r="E21" i="20"/>
  <c r="D21" i="20"/>
  <c r="H21" i="20"/>
  <c r="J21" i="20" s="1"/>
  <c r="C21" i="20"/>
  <c r="F21" i="20"/>
  <c r="B21" i="20"/>
  <c r="D13" i="19"/>
  <c r="D68" i="19" s="1"/>
  <c r="C13" i="19"/>
  <c r="C68" i="19" s="1"/>
  <c r="A14" i="19"/>
  <c r="E13" i="19"/>
  <c r="E68" i="19" s="1"/>
  <c r="B13" i="19"/>
  <c r="B68" i="19" s="1"/>
  <c r="A23" i="20" l="1"/>
  <c r="E22" i="20"/>
  <c r="D22" i="20"/>
  <c r="C22" i="20"/>
  <c r="B22" i="20"/>
  <c r="H22" i="20" s="1"/>
  <c r="J22" i="20" s="1"/>
  <c r="F22" i="20"/>
  <c r="C14" i="19"/>
  <c r="C69" i="19" s="1"/>
  <c r="A15" i="19"/>
  <c r="B14" i="19"/>
  <c r="B69" i="19" s="1"/>
  <c r="E14" i="19"/>
  <c r="E69" i="19" s="1"/>
  <c r="D14" i="19"/>
  <c r="D69" i="19" s="1"/>
  <c r="A24" i="20" l="1"/>
  <c r="E23" i="20"/>
  <c r="D23" i="20"/>
  <c r="H23" i="20"/>
  <c r="J23" i="20" s="1"/>
  <c r="C23" i="20"/>
  <c r="F23" i="20"/>
  <c r="B23" i="20"/>
  <c r="C70" i="19"/>
  <c r="A16" i="19"/>
  <c r="B15" i="19"/>
  <c r="B70" i="19" s="1"/>
  <c r="E15" i="19"/>
  <c r="E70" i="19" s="1"/>
  <c r="D15" i="19"/>
  <c r="D70" i="19" s="1"/>
  <c r="C15" i="19"/>
  <c r="A25" i="20" l="1"/>
  <c r="E24" i="20"/>
  <c r="D24" i="20"/>
  <c r="C24" i="20"/>
  <c r="F24" i="20"/>
  <c r="B24" i="20"/>
  <c r="H24" i="20" s="1"/>
  <c r="J24" i="20" s="1"/>
  <c r="C71" i="19"/>
  <c r="E16" i="19"/>
  <c r="E71" i="19" s="1"/>
  <c r="D16" i="19"/>
  <c r="D71" i="19" s="1"/>
  <c r="B16" i="19"/>
  <c r="B71" i="19" s="1"/>
  <c r="A17" i="19"/>
  <c r="C16" i="19"/>
  <c r="A26" i="20" l="1"/>
  <c r="E25" i="20"/>
  <c r="D25" i="20"/>
  <c r="H25" i="20"/>
  <c r="J25" i="20" s="1"/>
  <c r="C25" i="20"/>
  <c r="F25" i="20"/>
  <c r="B25" i="20"/>
  <c r="C72" i="19"/>
  <c r="D17" i="19"/>
  <c r="D72" i="19" s="1"/>
  <c r="C17" i="19"/>
  <c r="B17" i="19"/>
  <c r="B72" i="19" s="1"/>
  <c r="E17" i="19"/>
  <c r="E72" i="19" s="1"/>
  <c r="A18" i="19"/>
  <c r="A27" i="20" l="1"/>
  <c r="E26" i="20"/>
  <c r="D26" i="20"/>
  <c r="C26" i="20"/>
  <c r="B26" i="20"/>
  <c r="H26" i="20" s="1"/>
  <c r="J26" i="20" s="1"/>
  <c r="F26" i="20"/>
  <c r="C73" i="19"/>
  <c r="C18" i="19"/>
  <c r="A19" i="19"/>
  <c r="B18" i="19"/>
  <c r="B73" i="19" s="1"/>
  <c r="E18" i="19"/>
  <c r="E73" i="19" s="1"/>
  <c r="D18" i="19"/>
  <c r="D73" i="19" s="1"/>
  <c r="A28" i="20" l="1"/>
  <c r="E27" i="20"/>
  <c r="D27" i="20"/>
  <c r="C27" i="20"/>
  <c r="F27" i="20"/>
  <c r="B27" i="20"/>
  <c r="H27" i="20" s="1"/>
  <c r="J27" i="20" s="1"/>
  <c r="C74" i="19"/>
  <c r="A20" i="19"/>
  <c r="B19" i="19"/>
  <c r="B74" i="19" s="1"/>
  <c r="E19" i="19"/>
  <c r="E74" i="19" s="1"/>
  <c r="D19" i="19"/>
  <c r="D74" i="19" s="1"/>
  <c r="C19" i="19"/>
  <c r="A29" i="20" l="1"/>
  <c r="E28" i="20"/>
  <c r="D28" i="20"/>
  <c r="C28" i="20"/>
  <c r="F28" i="20"/>
  <c r="B28" i="20"/>
  <c r="H28" i="20" s="1"/>
  <c r="J28" i="20" s="1"/>
  <c r="C75" i="19"/>
  <c r="E20" i="19"/>
  <c r="E75" i="19" s="1"/>
  <c r="D20" i="19"/>
  <c r="D75" i="19" s="1"/>
  <c r="C20" i="19"/>
  <c r="B20" i="19"/>
  <c r="B75" i="19" s="1"/>
  <c r="A21" i="19"/>
  <c r="A30" i="20" l="1"/>
  <c r="E29" i="20"/>
  <c r="D29" i="20"/>
  <c r="H29" i="20"/>
  <c r="J29" i="20" s="1"/>
  <c r="C29" i="20"/>
  <c r="F29" i="20"/>
  <c r="B29" i="20"/>
  <c r="D21" i="19"/>
  <c r="D76" i="19" s="1"/>
  <c r="C21" i="19"/>
  <c r="C76" i="19" s="1"/>
  <c r="A22" i="19"/>
  <c r="E21" i="19"/>
  <c r="E76" i="19" s="1"/>
  <c r="B21" i="19"/>
  <c r="B76" i="19" s="1"/>
  <c r="A31" i="20" l="1"/>
  <c r="E30" i="20"/>
  <c r="D30" i="20"/>
  <c r="C30" i="20"/>
  <c r="B30" i="20"/>
  <c r="H30" i="20" s="1"/>
  <c r="J30" i="20" s="1"/>
  <c r="F30" i="20"/>
  <c r="C22" i="19"/>
  <c r="C77" i="19" s="1"/>
  <c r="A23" i="19"/>
  <c r="B22" i="19"/>
  <c r="B77" i="19" s="1"/>
  <c r="D22" i="19"/>
  <c r="D77" i="19" s="1"/>
  <c r="E22" i="19"/>
  <c r="E77" i="19" s="1"/>
  <c r="A32" i="20" l="1"/>
  <c r="E31" i="20"/>
  <c r="D31" i="20"/>
  <c r="H31" i="20"/>
  <c r="J31" i="20" s="1"/>
  <c r="C31" i="20"/>
  <c r="F31" i="20"/>
  <c r="B31" i="20"/>
  <c r="C78" i="19"/>
  <c r="A24" i="19"/>
  <c r="B23" i="19"/>
  <c r="B78" i="19" s="1"/>
  <c r="E23" i="19"/>
  <c r="E78" i="19" s="1"/>
  <c r="D23" i="19"/>
  <c r="D78" i="19" s="1"/>
  <c r="C23" i="19"/>
  <c r="A33" i="20" l="1"/>
  <c r="E32" i="20"/>
  <c r="D32" i="20"/>
  <c r="C32" i="20"/>
  <c r="F32" i="20"/>
  <c r="B32" i="20"/>
  <c r="H32" i="20" s="1"/>
  <c r="J32" i="20" s="1"/>
  <c r="E24" i="19"/>
  <c r="E79" i="19" s="1"/>
  <c r="D24" i="19"/>
  <c r="D79" i="19" s="1"/>
  <c r="A25" i="19"/>
  <c r="C24" i="19"/>
  <c r="C79" i="19" s="1"/>
  <c r="B24" i="19"/>
  <c r="B79" i="19" s="1"/>
  <c r="A34" i="20" l="1"/>
  <c r="E33" i="20"/>
  <c r="D33" i="20"/>
  <c r="C33" i="20"/>
  <c r="F33" i="20"/>
  <c r="B33" i="20"/>
  <c r="H33" i="20" s="1"/>
  <c r="J33" i="20" s="1"/>
  <c r="D25" i="19"/>
  <c r="D80" i="19" s="1"/>
  <c r="C25" i="19"/>
  <c r="C80" i="19" s="1"/>
  <c r="B25" i="19"/>
  <c r="B80" i="19" s="1"/>
  <c r="E25" i="19"/>
  <c r="E80" i="19" s="1"/>
  <c r="A26" i="19"/>
  <c r="A35" i="20" l="1"/>
  <c r="E34" i="20"/>
  <c r="D34" i="20"/>
  <c r="C34" i="20"/>
  <c r="B34" i="20"/>
  <c r="H34" i="20" s="1"/>
  <c r="J34" i="20" s="1"/>
  <c r="F34" i="20"/>
  <c r="C26" i="19"/>
  <c r="C81" i="19" s="1"/>
  <c r="A27" i="19"/>
  <c r="B26" i="19"/>
  <c r="B81" i="19" s="1"/>
  <c r="E26" i="19"/>
  <c r="E81" i="19" s="1"/>
  <c r="D26" i="19"/>
  <c r="D81" i="19" s="1"/>
  <c r="A36" i="20" l="1"/>
  <c r="E35" i="20"/>
  <c r="D35" i="20"/>
  <c r="C35" i="20"/>
  <c r="F35" i="20"/>
  <c r="B35" i="20"/>
  <c r="H35" i="20" s="1"/>
  <c r="J35" i="20" s="1"/>
  <c r="C82" i="19"/>
  <c r="A28" i="19"/>
  <c r="B27" i="19"/>
  <c r="B82" i="19" s="1"/>
  <c r="E27" i="19"/>
  <c r="E82" i="19" s="1"/>
  <c r="D27" i="19"/>
  <c r="D82" i="19" s="1"/>
  <c r="C27" i="19"/>
  <c r="A37" i="20" l="1"/>
  <c r="E36" i="20"/>
  <c r="D36" i="20"/>
  <c r="C36" i="20"/>
  <c r="B36" i="20"/>
  <c r="H36" i="20" s="1"/>
  <c r="J36" i="20" s="1"/>
  <c r="F36" i="20"/>
  <c r="C83" i="19"/>
  <c r="E28" i="19"/>
  <c r="E83" i="19" s="1"/>
  <c r="D28" i="19"/>
  <c r="D83" i="19" s="1"/>
  <c r="C28" i="19"/>
  <c r="A29" i="19"/>
  <c r="B28" i="19"/>
  <c r="B83" i="19" s="1"/>
  <c r="A38" i="20" l="1"/>
  <c r="E37" i="20"/>
  <c r="D37" i="20"/>
  <c r="H37" i="20"/>
  <c r="J37" i="20" s="1"/>
  <c r="C37" i="20"/>
  <c r="F37" i="20"/>
  <c r="B37" i="20"/>
  <c r="D29" i="19"/>
  <c r="D84" i="19" s="1"/>
  <c r="C29" i="19"/>
  <c r="C84" i="19" s="1"/>
  <c r="A30" i="19"/>
  <c r="E29" i="19"/>
  <c r="E84" i="19" s="1"/>
  <c r="B29" i="19"/>
  <c r="B84" i="19" s="1"/>
  <c r="A39" i="20" l="1"/>
  <c r="E38" i="20"/>
  <c r="D38" i="20"/>
  <c r="C38" i="20"/>
  <c r="F38" i="20"/>
  <c r="B38" i="20"/>
  <c r="H38" i="20" s="1"/>
  <c r="J38" i="20" s="1"/>
  <c r="C30" i="19"/>
  <c r="C85" i="19" s="1"/>
  <c r="A31" i="19"/>
  <c r="B30" i="19"/>
  <c r="B85" i="19" s="1"/>
  <c r="D30" i="19"/>
  <c r="D85" i="19" s="1"/>
  <c r="E30" i="19"/>
  <c r="E85" i="19" s="1"/>
  <c r="A40" i="20" l="1"/>
  <c r="E39" i="20"/>
  <c r="D39" i="20"/>
  <c r="H39" i="20"/>
  <c r="J39" i="20" s="1"/>
  <c r="C39" i="20"/>
  <c r="F39" i="20"/>
  <c r="B39" i="20"/>
  <c r="C86" i="19"/>
  <c r="A32" i="19"/>
  <c r="B31" i="19"/>
  <c r="B86" i="19" s="1"/>
  <c r="E31" i="19"/>
  <c r="E86" i="19" s="1"/>
  <c r="D31" i="19"/>
  <c r="D86" i="19" s="1"/>
  <c r="C31" i="19"/>
  <c r="A41" i="20" l="1"/>
  <c r="E40" i="20"/>
  <c r="D40" i="20"/>
  <c r="C40" i="20"/>
  <c r="F40" i="20"/>
  <c r="B40" i="20"/>
  <c r="H40" i="20" s="1"/>
  <c r="J40" i="20" s="1"/>
  <c r="E32" i="19"/>
  <c r="E87" i="19" s="1"/>
  <c r="D32" i="19"/>
  <c r="D87" i="19" s="1"/>
  <c r="A33" i="19"/>
  <c r="C32" i="19"/>
  <c r="C87" i="19" s="1"/>
  <c r="B32" i="19"/>
  <c r="B87" i="19" s="1"/>
  <c r="A42" i="20" l="1"/>
  <c r="E41" i="20"/>
  <c r="D41" i="20"/>
  <c r="C41" i="20"/>
  <c r="F41" i="20"/>
  <c r="B41" i="20"/>
  <c r="H41" i="20" s="1"/>
  <c r="J41" i="20" s="1"/>
  <c r="D33" i="19"/>
  <c r="D88" i="19" s="1"/>
  <c r="C33" i="19"/>
  <c r="C88" i="19" s="1"/>
  <c r="B33" i="19"/>
  <c r="B88" i="19" s="1"/>
  <c r="E33" i="19"/>
  <c r="E88" i="19" s="1"/>
  <c r="A34" i="19"/>
  <c r="A43" i="20" l="1"/>
  <c r="E42" i="20"/>
  <c r="D42" i="20"/>
  <c r="C42" i="20"/>
  <c r="B42" i="20"/>
  <c r="H42" i="20" s="1"/>
  <c r="J42" i="20" s="1"/>
  <c r="F42" i="20"/>
  <c r="C34" i="19"/>
  <c r="C89" i="19" s="1"/>
  <c r="A35" i="19"/>
  <c r="B34" i="19"/>
  <c r="B89" i="19" s="1"/>
  <c r="E34" i="19"/>
  <c r="E89" i="19" s="1"/>
  <c r="D34" i="19"/>
  <c r="D89" i="19" s="1"/>
  <c r="A44" i="20" l="1"/>
  <c r="E43" i="20"/>
  <c r="D43" i="20"/>
  <c r="C43" i="20"/>
  <c r="F43" i="20"/>
  <c r="B43" i="20"/>
  <c r="H43" i="20" s="1"/>
  <c r="J43" i="20" s="1"/>
  <c r="A36" i="19"/>
  <c r="B35" i="19"/>
  <c r="B90" i="19" s="1"/>
  <c r="E35" i="19"/>
  <c r="E90" i="19" s="1"/>
  <c r="C35" i="19"/>
  <c r="C90" i="19" s="1"/>
  <c r="D35" i="19"/>
  <c r="D90" i="19" s="1"/>
  <c r="A45" i="20" l="1"/>
  <c r="E44" i="20"/>
  <c r="D44" i="20"/>
  <c r="H44" i="20"/>
  <c r="J44" i="20" s="1"/>
  <c r="C44" i="20"/>
  <c r="F44" i="20"/>
  <c r="B44" i="20"/>
  <c r="D91" i="19"/>
  <c r="E36" i="19"/>
  <c r="E91" i="19" s="1"/>
  <c r="D36" i="19"/>
  <c r="C36" i="19"/>
  <c r="C91" i="19" s="1"/>
  <c r="B36" i="19"/>
  <c r="B91" i="19" s="1"/>
  <c r="A37" i="19"/>
  <c r="A46" i="20" l="1"/>
  <c r="E45" i="20"/>
  <c r="D45" i="20"/>
  <c r="C45" i="20"/>
  <c r="F45" i="20"/>
  <c r="B45" i="20"/>
  <c r="H45" i="20" s="1"/>
  <c r="J45" i="20" s="1"/>
  <c r="C92" i="19"/>
  <c r="D37" i="19"/>
  <c r="D92" i="19" s="1"/>
  <c r="C37" i="19"/>
  <c r="A38" i="19"/>
  <c r="E37" i="19"/>
  <c r="E92" i="19" s="1"/>
  <c r="B37" i="19"/>
  <c r="B92" i="19" s="1"/>
  <c r="A47" i="20" l="1"/>
  <c r="E46" i="20"/>
  <c r="D46" i="20"/>
  <c r="H46" i="20"/>
  <c r="J46" i="20" s="1"/>
  <c r="C46" i="20"/>
  <c r="F46" i="20"/>
  <c r="B46" i="20"/>
  <c r="C38" i="19"/>
  <c r="C93" i="19" s="1"/>
  <c r="A39" i="19"/>
  <c r="B38" i="19"/>
  <c r="B93" i="19" s="1"/>
  <c r="D38" i="19"/>
  <c r="D93" i="19" s="1"/>
  <c r="E38" i="19"/>
  <c r="E93" i="19" s="1"/>
  <c r="A48" i="20" l="1"/>
  <c r="E47" i="20"/>
  <c r="D47" i="20"/>
  <c r="C47" i="20"/>
  <c r="F47" i="20"/>
  <c r="B47" i="20"/>
  <c r="H47" i="20" s="1"/>
  <c r="J47" i="20" s="1"/>
  <c r="D94" i="19"/>
  <c r="A40" i="19"/>
  <c r="B39" i="19"/>
  <c r="B94" i="19" s="1"/>
  <c r="E39" i="19"/>
  <c r="E94" i="19" s="1"/>
  <c r="D39" i="19"/>
  <c r="C39" i="19"/>
  <c r="C94" i="19" s="1"/>
  <c r="A49" i="20" l="1"/>
  <c r="E48" i="20"/>
  <c r="D48" i="20"/>
  <c r="C48" i="20"/>
  <c r="F48" i="20"/>
  <c r="B48" i="20"/>
  <c r="H48" i="20" s="1"/>
  <c r="J48" i="20" s="1"/>
  <c r="E95" i="19"/>
  <c r="C95" i="19"/>
  <c r="E40" i="19"/>
  <c r="D40" i="19"/>
  <c r="D95" i="19" s="1"/>
  <c r="C40" i="19"/>
  <c r="B40" i="19"/>
  <c r="B95" i="19" s="1"/>
  <c r="A50" i="20" l="1"/>
  <c r="E49" i="20"/>
  <c r="D49" i="20"/>
  <c r="C49" i="20"/>
  <c r="F49" i="20"/>
  <c r="B49" i="20"/>
  <c r="H49" i="20" s="1"/>
  <c r="J49" i="20" s="1"/>
  <c r="A51" i="20" l="1"/>
  <c r="E50" i="20"/>
  <c r="D50" i="20"/>
  <c r="H50" i="20"/>
  <c r="J50" i="20" s="1"/>
  <c r="C50" i="20"/>
  <c r="B50" i="20"/>
  <c r="F50" i="20"/>
  <c r="A52" i="20" l="1"/>
  <c r="E51" i="20"/>
  <c r="D51" i="20"/>
  <c r="C51" i="20"/>
  <c r="F51" i="20"/>
  <c r="B51" i="20"/>
  <c r="H51" i="20" s="1"/>
  <c r="J51" i="20" s="1"/>
  <c r="A53" i="20" l="1"/>
  <c r="E52" i="20"/>
  <c r="D52" i="20"/>
  <c r="C52" i="20"/>
  <c r="F52" i="20"/>
  <c r="B52" i="20"/>
  <c r="H52" i="20" s="1"/>
  <c r="J52" i="20" s="1"/>
  <c r="A54" i="20" l="1"/>
  <c r="E53" i="20"/>
  <c r="D53" i="20"/>
  <c r="C53" i="20"/>
  <c r="F53" i="20"/>
  <c r="B53" i="20"/>
  <c r="H53" i="20" s="1"/>
  <c r="J53" i="20" s="1"/>
  <c r="A55" i="20" l="1"/>
  <c r="E54" i="20"/>
  <c r="D54" i="20"/>
  <c r="C54" i="20"/>
  <c r="F54" i="20"/>
  <c r="B54" i="20"/>
  <c r="H54" i="20" s="1"/>
  <c r="J54" i="20" s="1"/>
  <c r="A56" i="20" l="1"/>
  <c r="E55" i="20"/>
  <c r="D55" i="20"/>
  <c r="C55" i="20"/>
  <c r="F55" i="20"/>
  <c r="B55" i="20"/>
  <c r="H55" i="20" s="1"/>
  <c r="J55" i="20" s="1"/>
  <c r="A57" i="20" l="1"/>
  <c r="E56" i="20"/>
  <c r="D56" i="20"/>
  <c r="C56" i="20"/>
  <c r="F56" i="20"/>
  <c r="H56" i="20" s="1"/>
  <c r="J56" i="20" s="1"/>
  <c r="B56" i="20"/>
  <c r="A58" i="20" l="1"/>
  <c r="E57" i="20"/>
  <c r="D57" i="20"/>
  <c r="C57" i="20"/>
  <c r="F57" i="20"/>
  <c r="B57" i="20"/>
  <c r="H57" i="20" s="1"/>
  <c r="J57" i="20" s="1"/>
  <c r="A59" i="20" l="1"/>
  <c r="E58" i="20"/>
  <c r="D58" i="20"/>
  <c r="H58" i="20"/>
  <c r="J58" i="20" s="1"/>
  <c r="C58" i="20"/>
  <c r="F58" i="20"/>
  <c r="B58" i="20"/>
  <c r="A60" i="20" l="1"/>
  <c r="E59" i="20"/>
  <c r="D59" i="20"/>
  <c r="C59" i="20"/>
  <c r="F59" i="20"/>
  <c r="B59" i="20"/>
  <c r="H59" i="20" s="1"/>
  <c r="J59" i="20" s="1"/>
  <c r="A61" i="20" l="1"/>
  <c r="E60" i="20"/>
  <c r="D60" i="20"/>
  <c r="C60" i="20"/>
  <c r="F60" i="20"/>
  <c r="B60" i="20"/>
  <c r="H60" i="20" s="1"/>
  <c r="J60" i="20" s="1"/>
  <c r="A62" i="20" l="1"/>
  <c r="E61" i="20"/>
  <c r="D61" i="20"/>
  <c r="C61" i="20"/>
  <c r="H61" i="20" s="1"/>
  <c r="J61" i="20" s="1"/>
  <c r="F61" i="20"/>
  <c r="B61" i="20"/>
  <c r="A63" i="20" l="1"/>
  <c r="E62" i="20"/>
  <c r="D62" i="20"/>
  <c r="C62" i="20"/>
  <c r="B62" i="20"/>
  <c r="H62" i="20" s="1"/>
  <c r="J62" i="20" s="1"/>
  <c r="F62" i="20"/>
  <c r="A64" i="20" l="1"/>
  <c r="E63" i="20"/>
  <c r="D63" i="20"/>
  <c r="C63" i="20"/>
  <c r="F63" i="20"/>
  <c r="B63" i="20"/>
  <c r="H63" i="20" s="1"/>
  <c r="J63" i="20" s="1"/>
  <c r="A65" i="20" l="1"/>
  <c r="E64" i="20"/>
  <c r="D64" i="20"/>
  <c r="C64" i="20"/>
  <c r="F64" i="20"/>
  <c r="B64" i="20"/>
  <c r="H64" i="20" s="1"/>
  <c r="J64" i="20" s="1"/>
  <c r="A66" i="20" l="1"/>
  <c r="E65" i="20"/>
  <c r="D65" i="20"/>
  <c r="C65" i="20"/>
  <c r="F65" i="20"/>
  <c r="B65" i="20"/>
  <c r="H65" i="20" s="1"/>
  <c r="J65" i="20" s="1"/>
  <c r="A67" i="20" l="1"/>
  <c r="E66" i="20"/>
  <c r="D66" i="20"/>
  <c r="C66" i="20"/>
  <c r="F66" i="20"/>
  <c r="B66" i="20"/>
  <c r="H66" i="20" s="1"/>
  <c r="J66" i="20" s="1"/>
  <c r="A68" i="20" l="1"/>
  <c r="E67" i="20"/>
  <c r="D67" i="20"/>
  <c r="C67" i="20"/>
  <c r="F67" i="20"/>
  <c r="H67" i="20" s="1"/>
  <c r="J67" i="20" s="1"/>
  <c r="B67" i="20"/>
  <c r="A69" i="20" l="1"/>
  <c r="E68" i="20"/>
  <c r="D68" i="20"/>
  <c r="C68" i="20"/>
  <c r="F68" i="20"/>
  <c r="B68" i="20"/>
  <c r="H68" i="20" s="1"/>
  <c r="J68" i="20" s="1"/>
  <c r="A70" i="20" l="1"/>
  <c r="E69" i="20"/>
  <c r="D69" i="20"/>
  <c r="C69" i="20"/>
  <c r="F69" i="20"/>
  <c r="B69" i="20"/>
  <c r="H69" i="20" s="1"/>
  <c r="J69" i="20" s="1"/>
  <c r="A71" i="20" l="1"/>
  <c r="E70" i="20"/>
  <c r="D70" i="20"/>
  <c r="C70" i="20"/>
  <c r="F70" i="20"/>
  <c r="B70" i="20"/>
  <c r="H70" i="20" s="1"/>
  <c r="J70" i="20" s="1"/>
  <c r="A72" i="20" l="1"/>
  <c r="E71" i="20"/>
  <c r="D71" i="20"/>
  <c r="H71" i="20"/>
  <c r="J71" i="20" s="1"/>
  <c r="C71" i="20"/>
  <c r="F71" i="20"/>
  <c r="B71" i="20"/>
  <c r="A73" i="20" l="1"/>
  <c r="E72" i="20"/>
  <c r="D72" i="20"/>
  <c r="C72" i="20"/>
  <c r="F72" i="20"/>
  <c r="B72" i="20"/>
  <c r="H72" i="20" s="1"/>
  <c r="J72" i="20" s="1"/>
  <c r="A74" i="20" l="1"/>
  <c r="E73" i="20"/>
  <c r="D73" i="20"/>
  <c r="C73" i="20"/>
  <c r="F73" i="20"/>
  <c r="B73" i="20"/>
  <c r="H73" i="20" s="1"/>
  <c r="J73" i="20" s="1"/>
  <c r="D74" i="20" l="1"/>
  <c r="F74" i="20"/>
  <c r="E74" i="20"/>
  <c r="C74" i="20"/>
  <c r="A75" i="20"/>
  <c r="B74" i="20"/>
  <c r="H74" i="20" s="1"/>
  <c r="J74" i="20" s="1"/>
  <c r="D75" i="20" l="1"/>
  <c r="A76" i="20"/>
  <c r="C75" i="20"/>
  <c r="H75" i="20"/>
  <c r="J75" i="20" s="1"/>
  <c r="B75" i="20"/>
  <c r="F75" i="20"/>
  <c r="E75" i="20"/>
  <c r="D76" i="20" l="1"/>
  <c r="F76" i="20"/>
  <c r="E76" i="20"/>
  <c r="A77" i="20"/>
  <c r="C76" i="20"/>
  <c r="B76" i="20"/>
  <c r="H76" i="20" s="1"/>
  <c r="J76" i="20" s="1"/>
  <c r="D77" i="20" l="1"/>
  <c r="A78" i="20"/>
  <c r="C77" i="20"/>
  <c r="B77" i="20"/>
  <c r="F77" i="20"/>
  <c r="E77" i="20"/>
  <c r="H77" i="20" s="1"/>
  <c r="J77" i="20" s="1"/>
  <c r="D78" i="20" l="1"/>
  <c r="F78" i="20"/>
  <c r="E78" i="20"/>
  <c r="A79" i="20"/>
  <c r="C78" i="20"/>
  <c r="B78" i="20"/>
  <c r="H78" i="20" s="1"/>
  <c r="J78" i="20" s="1"/>
  <c r="D79" i="20" l="1"/>
  <c r="A80" i="20"/>
  <c r="C79" i="20"/>
  <c r="H79" i="20"/>
  <c r="J79" i="20" s="1"/>
  <c r="B79" i="20"/>
  <c r="F79" i="20"/>
  <c r="E79" i="20"/>
  <c r="D80" i="20" l="1"/>
  <c r="F80" i="20"/>
  <c r="E80" i="20"/>
  <c r="C80" i="20"/>
  <c r="A81" i="20"/>
  <c r="B80" i="20"/>
  <c r="H80" i="20" s="1"/>
  <c r="J80" i="20" s="1"/>
  <c r="D81" i="20" l="1"/>
  <c r="A82" i="20"/>
  <c r="C81" i="20"/>
  <c r="B81" i="20"/>
  <c r="F81" i="20"/>
  <c r="E81" i="20"/>
  <c r="H81" i="20" s="1"/>
  <c r="J81" i="20" s="1"/>
  <c r="D82" i="20" l="1"/>
  <c r="F82" i="20"/>
  <c r="E82" i="20"/>
  <c r="A83" i="20"/>
  <c r="C82" i="20"/>
  <c r="H82" i="20"/>
  <c r="J82" i="20" s="1"/>
  <c r="B82" i="20"/>
  <c r="D83" i="20" l="1"/>
  <c r="A84" i="20"/>
  <c r="C83" i="20"/>
  <c r="H83" i="20"/>
  <c r="J83" i="20" s="1"/>
  <c r="B83" i="20"/>
  <c r="F83" i="20"/>
  <c r="E83" i="20"/>
  <c r="D84" i="20" l="1"/>
  <c r="F84" i="20"/>
  <c r="E84" i="20"/>
  <c r="C84" i="20"/>
  <c r="H84" i="20" s="1"/>
  <c r="J84" i="20" s="1"/>
  <c r="A85" i="20"/>
  <c r="B84" i="20"/>
  <c r="D85" i="20" l="1"/>
  <c r="A86" i="20"/>
  <c r="C85" i="20"/>
  <c r="B85" i="20"/>
  <c r="F85" i="20"/>
  <c r="E85" i="20"/>
  <c r="H85" i="20" s="1"/>
  <c r="J85" i="20" s="1"/>
  <c r="D86" i="20" l="1"/>
  <c r="F86" i="20"/>
  <c r="E86" i="20"/>
  <c r="A87" i="20"/>
  <c r="C86" i="20"/>
  <c r="B86" i="20"/>
  <c r="H86" i="20" s="1"/>
  <c r="J86" i="20" s="1"/>
  <c r="D87" i="20" l="1"/>
  <c r="A88" i="20"/>
  <c r="C87" i="20"/>
  <c r="B87" i="20"/>
  <c r="F87" i="20"/>
  <c r="E87" i="20"/>
  <c r="H87" i="20" s="1"/>
  <c r="J87" i="20" s="1"/>
  <c r="D88" i="20" l="1"/>
  <c r="F88" i="20"/>
  <c r="E88" i="20"/>
  <c r="C88" i="20"/>
  <c r="A89" i="20"/>
  <c r="B88" i="20"/>
  <c r="H88" i="20" s="1"/>
  <c r="J88" i="20" s="1"/>
  <c r="D89" i="20" l="1"/>
  <c r="A90" i="20"/>
  <c r="C89" i="20"/>
  <c r="B89" i="20"/>
  <c r="F89" i="20"/>
  <c r="E89" i="20"/>
  <c r="H89" i="20" s="1"/>
  <c r="J89" i="20" s="1"/>
  <c r="A91" i="20" l="1"/>
  <c r="E90" i="20"/>
  <c r="D90" i="20"/>
  <c r="H90" i="20"/>
  <c r="J90" i="20" s="1"/>
  <c r="F90" i="20"/>
  <c r="C90" i="20"/>
  <c r="B90" i="20"/>
  <c r="A92" i="20" l="1"/>
  <c r="E91" i="20"/>
  <c r="D91" i="20"/>
  <c r="F91" i="20"/>
  <c r="C91" i="20"/>
  <c r="B91" i="20"/>
  <c r="H91" i="20" s="1"/>
  <c r="J91" i="20" s="1"/>
  <c r="A93" i="20" l="1"/>
  <c r="E92" i="20"/>
  <c r="D92" i="20"/>
  <c r="H92" i="20"/>
  <c r="J92" i="20" s="1"/>
  <c r="F92" i="20"/>
  <c r="C92" i="20"/>
  <c r="B92" i="20"/>
  <c r="A94" i="20" l="1"/>
  <c r="E93" i="20"/>
  <c r="D93" i="20"/>
  <c r="H93" i="20"/>
  <c r="J93" i="20" s="1"/>
  <c r="F93" i="20"/>
  <c r="C93" i="20"/>
  <c r="B93" i="20"/>
  <c r="A95" i="20" l="1"/>
  <c r="E94" i="20"/>
  <c r="D94" i="20"/>
  <c r="H94" i="20"/>
  <c r="J94" i="20" s="1"/>
  <c r="F94" i="20"/>
  <c r="C94" i="20"/>
  <c r="B94" i="20"/>
  <c r="A96" i="20" l="1"/>
  <c r="E95" i="20"/>
  <c r="D95" i="20"/>
  <c r="F95" i="20"/>
  <c r="C95" i="20"/>
  <c r="B95" i="20"/>
  <c r="H95" i="20" s="1"/>
  <c r="J95" i="20" s="1"/>
  <c r="A97" i="20" l="1"/>
  <c r="E96" i="20"/>
  <c r="D96" i="20"/>
  <c r="F96" i="20"/>
  <c r="C96" i="20"/>
  <c r="B96" i="20"/>
  <c r="H96" i="20" s="1"/>
  <c r="J96" i="20" s="1"/>
  <c r="A98" i="20" l="1"/>
  <c r="E97" i="20"/>
  <c r="D97" i="20"/>
  <c r="H97" i="20"/>
  <c r="J97" i="20" s="1"/>
  <c r="F97" i="20"/>
  <c r="C97" i="20"/>
  <c r="B97" i="20"/>
  <c r="A99" i="20" l="1"/>
  <c r="E98" i="20"/>
  <c r="D98" i="20"/>
  <c r="H98" i="20"/>
  <c r="J98" i="20" s="1"/>
  <c r="F98" i="20"/>
  <c r="C98" i="20"/>
  <c r="B98" i="20"/>
  <c r="A100" i="20" l="1"/>
  <c r="E99" i="20"/>
  <c r="D99" i="20"/>
  <c r="F99" i="20"/>
  <c r="C99" i="20"/>
  <c r="H99" i="20" s="1"/>
  <c r="J99" i="20" s="1"/>
  <c r="B99" i="20"/>
  <c r="A101" i="20" l="1"/>
  <c r="E100" i="20"/>
  <c r="D100" i="20"/>
  <c r="F100" i="20"/>
  <c r="C100" i="20"/>
  <c r="H100" i="20" s="1"/>
  <c r="J100" i="20" s="1"/>
  <c r="B100" i="20"/>
  <c r="A102" i="20" l="1"/>
  <c r="E101" i="20"/>
  <c r="D101" i="20"/>
  <c r="F101" i="20"/>
  <c r="C101" i="20"/>
  <c r="H101" i="20" s="1"/>
  <c r="J101" i="20" s="1"/>
  <c r="B101" i="20"/>
  <c r="A103" i="20" l="1"/>
  <c r="E102" i="20"/>
  <c r="D102" i="20"/>
  <c r="H102" i="20"/>
  <c r="J102" i="20" s="1"/>
  <c r="F102" i="20"/>
  <c r="C102" i="20"/>
  <c r="B102" i="20"/>
  <c r="A104" i="20" l="1"/>
  <c r="E103" i="20"/>
  <c r="D103" i="20"/>
  <c r="H103" i="20"/>
  <c r="J103" i="20" s="1"/>
  <c r="F103" i="20"/>
  <c r="C103" i="20"/>
  <c r="B103" i="20"/>
  <c r="A105" i="20" l="1"/>
  <c r="E104" i="20"/>
  <c r="D104" i="20"/>
  <c r="H104" i="20"/>
  <c r="J104" i="20" s="1"/>
  <c r="F104" i="20"/>
  <c r="C104" i="20"/>
  <c r="B104" i="20"/>
  <c r="A106" i="20" l="1"/>
  <c r="E105" i="20"/>
  <c r="D105" i="20"/>
  <c r="H105" i="20"/>
  <c r="J105" i="20" s="1"/>
  <c r="F105" i="20"/>
  <c r="C105" i="20"/>
  <c r="B105" i="20"/>
  <c r="A107" i="20" l="1"/>
  <c r="E106" i="20"/>
  <c r="D106" i="20"/>
  <c r="H106" i="20"/>
  <c r="J106" i="20" s="1"/>
  <c r="F106" i="20"/>
  <c r="C106" i="20"/>
  <c r="B106" i="20"/>
  <c r="A108" i="20" l="1"/>
  <c r="E107" i="20"/>
  <c r="D107" i="20"/>
  <c r="F107" i="20"/>
  <c r="C107" i="20"/>
  <c r="B107" i="20"/>
  <c r="H107" i="20" s="1"/>
  <c r="J107" i="20" s="1"/>
  <c r="A109" i="20" l="1"/>
  <c r="E108" i="20"/>
  <c r="D108" i="20"/>
  <c r="H108" i="20"/>
  <c r="J108" i="20" s="1"/>
  <c r="F108" i="20"/>
  <c r="C108" i="20"/>
  <c r="B108" i="20"/>
  <c r="A110" i="20" l="1"/>
  <c r="E109" i="20"/>
  <c r="D109" i="20"/>
  <c r="H109" i="20"/>
  <c r="J109" i="20" s="1"/>
  <c r="F109" i="20"/>
  <c r="C109" i="20"/>
  <c r="B109" i="20"/>
  <c r="A111" i="20" l="1"/>
  <c r="E110" i="20"/>
  <c r="D110" i="20"/>
  <c r="H110" i="20"/>
  <c r="J110" i="20" s="1"/>
  <c r="F110" i="20"/>
  <c r="C110" i="20"/>
  <c r="B110" i="20"/>
  <c r="A112" i="20" l="1"/>
  <c r="E111" i="20"/>
  <c r="D111" i="20"/>
  <c r="H111" i="20"/>
  <c r="J111" i="20" s="1"/>
  <c r="F111" i="20"/>
  <c r="C111" i="20"/>
  <c r="B111" i="20"/>
  <c r="A113" i="20" l="1"/>
  <c r="E112" i="20"/>
  <c r="D112" i="20"/>
  <c r="F112" i="20"/>
  <c r="C112" i="20"/>
  <c r="B112" i="20"/>
  <c r="H112" i="20" s="1"/>
  <c r="J112" i="20" s="1"/>
  <c r="A114" i="20" l="1"/>
  <c r="E113" i="20"/>
  <c r="D113" i="20"/>
  <c r="H113" i="20"/>
  <c r="J113" i="20" s="1"/>
  <c r="F113" i="20"/>
  <c r="C113" i="20"/>
  <c r="B113" i="20"/>
  <c r="A115" i="20" l="1"/>
  <c r="E114" i="20"/>
  <c r="D114" i="20"/>
  <c r="F114" i="20"/>
  <c r="C114" i="20"/>
  <c r="B114" i="20"/>
  <c r="H114" i="20" s="1"/>
  <c r="J114" i="20" s="1"/>
  <c r="A116" i="20" l="1"/>
  <c r="E115" i="20"/>
  <c r="D115" i="20"/>
  <c r="H115" i="20"/>
  <c r="J115" i="20" s="1"/>
  <c r="F115" i="20"/>
  <c r="C115" i="20"/>
  <c r="B115" i="20"/>
  <c r="A117" i="20" l="1"/>
  <c r="E116" i="20"/>
  <c r="D116" i="20"/>
  <c r="H116" i="20"/>
  <c r="J116" i="20" s="1"/>
  <c r="F116" i="20"/>
  <c r="C116" i="20"/>
  <c r="B116" i="20"/>
  <c r="A118" i="20" l="1"/>
  <c r="E117" i="20"/>
  <c r="D117" i="20"/>
  <c r="F117" i="20"/>
  <c r="C117" i="20"/>
  <c r="B117" i="20"/>
  <c r="H117" i="20" s="1"/>
  <c r="J117" i="20" s="1"/>
  <c r="A119" i="20" l="1"/>
  <c r="E118" i="20"/>
  <c r="D118" i="20"/>
  <c r="F118" i="20"/>
  <c r="C118" i="20"/>
  <c r="H118" i="20" s="1"/>
  <c r="J118" i="20" s="1"/>
  <c r="B118" i="20"/>
  <c r="A120" i="20" l="1"/>
  <c r="E119" i="20"/>
  <c r="D119" i="20"/>
  <c r="F119" i="20"/>
  <c r="C119" i="20"/>
  <c r="H119" i="20" s="1"/>
  <c r="J119" i="20" s="1"/>
  <c r="B119" i="20"/>
  <c r="A121" i="20" l="1"/>
  <c r="E120" i="20"/>
  <c r="D120" i="20"/>
  <c r="H120" i="20"/>
  <c r="J120" i="20" s="1"/>
  <c r="F120" i="20"/>
  <c r="C120" i="20"/>
  <c r="B120" i="20"/>
  <c r="A122" i="20" l="1"/>
  <c r="E121" i="20"/>
  <c r="D121" i="20"/>
  <c r="F121" i="20"/>
  <c r="C121" i="20"/>
  <c r="B121" i="20"/>
  <c r="H121" i="20" s="1"/>
  <c r="J121" i="20" s="1"/>
  <c r="E122" i="20" l="1"/>
  <c r="A123" i="20"/>
  <c r="D122" i="20"/>
  <c r="H122" i="20"/>
  <c r="J122" i="20" s="1"/>
  <c r="F122" i="20"/>
  <c r="C122" i="20"/>
  <c r="B122" i="20"/>
  <c r="D123" i="20" l="1"/>
  <c r="B123" i="20"/>
  <c r="H123" i="20" s="1"/>
  <c r="J123" i="20" s="1"/>
  <c r="F123" i="20"/>
  <c r="A124" i="20"/>
  <c r="E123" i="20"/>
  <c r="C123" i="20"/>
  <c r="D124" i="20" l="1"/>
  <c r="E124" i="20"/>
  <c r="A125" i="20"/>
  <c r="C124" i="20"/>
  <c r="B124" i="20"/>
  <c r="H124" i="20" s="1"/>
  <c r="J124" i="20" s="1"/>
  <c r="F124" i="20"/>
  <c r="D125" i="20" l="1"/>
  <c r="B125" i="20"/>
  <c r="H125" i="20" s="1"/>
  <c r="J125" i="20" s="1"/>
  <c r="F125" i="20"/>
  <c r="E125" i="20"/>
  <c r="C125" i="20"/>
  <c r="A126" i="20"/>
  <c r="D126" i="20" l="1"/>
  <c r="E126" i="20"/>
  <c r="A127" i="20"/>
  <c r="C126" i="20"/>
  <c r="F126" i="20"/>
  <c r="B126" i="20"/>
  <c r="H126" i="20" s="1"/>
  <c r="J126" i="20" s="1"/>
  <c r="D127" i="20" l="1"/>
  <c r="B127" i="20"/>
  <c r="H127" i="20" s="1"/>
  <c r="J127" i="20" s="1"/>
  <c r="F127" i="20"/>
  <c r="A128" i="20"/>
  <c r="E127" i="20"/>
  <c r="C127" i="20"/>
  <c r="D128" i="20" l="1"/>
  <c r="E128" i="20"/>
  <c r="A129" i="20"/>
  <c r="C128" i="20"/>
  <c r="H128" i="20" s="1"/>
  <c r="J128" i="20" s="1"/>
  <c r="B128" i="20"/>
  <c r="F128" i="20"/>
  <c r="D129" i="20" l="1"/>
  <c r="B129" i="20"/>
  <c r="H129" i="20" s="1"/>
  <c r="J129" i="20" s="1"/>
  <c r="F129" i="20"/>
  <c r="E129" i="20"/>
  <c r="C129" i="20"/>
  <c r="A130" i="20"/>
  <c r="D130" i="20" l="1"/>
  <c r="E130" i="20"/>
  <c r="A131" i="20"/>
  <c r="C130" i="20"/>
  <c r="F130" i="20"/>
  <c r="B130" i="20"/>
  <c r="H130" i="20" s="1"/>
  <c r="J130" i="20" s="1"/>
  <c r="D131" i="20" l="1"/>
  <c r="B131" i="20"/>
  <c r="H131" i="20" s="1"/>
  <c r="J131" i="20" s="1"/>
  <c r="F131" i="20"/>
  <c r="A132" i="20"/>
  <c r="E131" i="20"/>
  <c r="C131" i="20"/>
  <c r="D132" i="20" l="1"/>
  <c r="E132" i="20"/>
  <c r="A133" i="20"/>
  <c r="C132" i="20"/>
  <c r="B132" i="20"/>
  <c r="H132" i="20" s="1"/>
  <c r="J132" i="20" s="1"/>
  <c r="F132" i="20"/>
  <c r="D133" i="20" l="1"/>
  <c r="B133" i="20"/>
  <c r="H133" i="20" s="1"/>
  <c r="J133" i="20" s="1"/>
  <c r="F133" i="20"/>
  <c r="E133" i="20"/>
  <c r="C133" i="20"/>
  <c r="A134" i="20"/>
  <c r="D134" i="20" l="1"/>
  <c r="E134" i="20"/>
  <c r="A135" i="20"/>
  <c r="C134" i="20"/>
  <c r="F134" i="20"/>
  <c r="B134" i="20"/>
  <c r="H134" i="20" s="1"/>
  <c r="J134" i="20" s="1"/>
  <c r="D135" i="20" l="1"/>
  <c r="A136" i="20"/>
  <c r="B135" i="20"/>
  <c r="H135" i="20" s="1"/>
  <c r="J135" i="20" s="1"/>
  <c r="F135" i="20"/>
  <c r="E135" i="20"/>
  <c r="C135" i="20"/>
  <c r="D136" i="20" l="1"/>
  <c r="C136" i="20"/>
  <c r="A137" i="20"/>
  <c r="F136" i="20"/>
  <c r="E136" i="20"/>
  <c r="B136" i="20"/>
  <c r="H136" i="20" s="1"/>
  <c r="J136" i="20" s="1"/>
  <c r="D137" i="20" l="1"/>
  <c r="C137" i="20"/>
  <c r="A138" i="20"/>
  <c r="F137" i="20"/>
  <c r="E137" i="20"/>
  <c r="B137" i="20"/>
  <c r="H137" i="20" s="1"/>
  <c r="J137" i="20" s="1"/>
  <c r="D138" i="20" l="1"/>
  <c r="C138" i="20"/>
  <c r="A139" i="20"/>
  <c r="F138" i="20"/>
  <c r="E138" i="20"/>
  <c r="B138" i="20"/>
  <c r="H138" i="20" s="1"/>
  <c r="J138" i="20" s="1"/>
  <c r="D139" i="20" l="1"/>
  <c r="C139" i="20"/>
  <c r="A140" i="20"/>
  <c r="F139" i="20"/>
  <c r="E139" i="20"/>
  <c r="B139" i="20"/>
  <c r="H139" i="20" s="1"/>
  <c r="J139" i="20" s="1"/>
  <c r="D140" i="20" l="1"/>
  <c r="C140" i="20"/>
  <c r="A141" i="20"/>
  <c r="F140" i="20"/>
  <c r="E140" i="20"/>
  <c r="B140" i="20"/>
  <c r="H140" i="20" s="1"/>
  <c r="J140" i="20" s="1"/>
  <c r="D141" i="20" l="1"/>
  <c r="C141" i="20"/>
  <c r="A142" i="20"/>
  <c r="F141" i="20"/>
  <c r="B141" i="20"/>
  <c r="H141" i="20" s="1"/>
  <c r="J141" i="20" s="1"/>
  <c r="E141" i="20"/>
  <c r="D142" i="20" l="1"/>
  <c r="C142" i="20"/>
  <c r="A143" i="20"/>
  <c r="F142" i="20"/>
  <c r="E142" i="20"/>
  <c r="B142" i="20"/>
  <c r="H142" i="20" s="1"/>
  <c r="J142" i="20" s="1"/>
  <c r="D143" i="20" l="1"/>
  <c r="C143" i="20"/>
  <c r="A144" i="20"/>
  <c r="F143" i="20"/>
  <c r="E143" i="20"/>
  <c r="B143" i="20"/>
  <c r="H143" i="20" s="1"/>
  <c r="J143" i="20" s="1"/>
  <c r="D144" i="20" l="1"/>
  <c r="C144" i="20"/>
  <c r="A145" i="20"/>
  <c r="F144" i="20"/>
  <c r="E144" i="20"/>
  <c r="B144" i="20"/>
  <c r="H144" i="20" s="1"/>
  <c r="J144" i="20" s="1"/>
  <c r="D145" i="20" l="1"/>
  <c r="C145" i="20"/>
  <c r="A146" i="20"/>
  <c r="F145" i="20"/>
  <c r="E145" i="20"/>
  <c r="B145" i="20"/>
  <c r="H145" i="20" s="1"/>
  <c r="J145" i="20" s="1"/>
  <c r="D146" i="20" l="1"/>
  <c r="C146" i="20"/>
  <c r="A147" i="20"/>
  <c r="F146" i="20"/>
  <c r="E146" i="20"/>
  <c r="B146" i="20"/>
  <c r="H146" i="20" s="1"/>
  <c r="J146" i="20" s="1"/>
  <c r="D147" i="20" l="1"/>
  <c r="C147" i="20"/>
  <c r="A148" i="20"/>
  <c r="F147" i="20"/>
  <c r="E147" i="20"/>
  <c r="B147" i="20"/>
  <c r="H147" i="20" s="1"/>
  <c r="J147" i="20" s="1"/>
  <c r="D148" i="20" l="1"/>
  <c r="C148" i="20"/>
  <c r="A149" i="20"/>
  <c r="F148" i="20"/>
  <c r="E148" i="20"/>
  <c r="B148" i="20"/>
  <c r="H148" i="20" s="1"/>
  <c r="J148" i="20" s="1"/>
  <c r="D149" i="20" l="1"/>
  <c r="C149" i="20"/>
  <c r="A150" i="20"/>
  <c r="F149" i="20"/>
  <c r="E149" i="20"/>
  <c r="B149" i="20"/>
  <c r="H149" i="20" s="1"/>
  <c r="J149" i="20" s="1"/>
  <c r="D150" i="20" l="1"/>
  <c r="C150" i="20"/>
  <c r="A151" i="20"/>
  <c r="F150" i="20"/>
  <c r="E150" i="20"/>
  <c r="B150" i="20"/>
  <c r="H150" i="20" s="1"/>
  <c r="J150" i="20" s="1"/>
  <c r="D151" i="20" l="1"/>
  <c r="C151" i="20"/>
  <c r="A152" i="20"/>
  <c r="F151" i="20"/>
  <c r="E151" i="20"/>
  <c r="B151" i="20"/>
  <c r="H151" i="20" s="1"/>
  <c r="J151" i="20" s="1"/>
  <c r="D152" i="20" l="1"/>
  <c r="C152" i="20"/>
  <c r="A153" i="20"/>
  <c r="F152" i="20"/>
  <c r="E152" i="20"/>
  <c r="B152" i="20"/>
  <c r="H152" i="20" s="1"/>
  <c r="J152" i="20" s="1"/>
  <c r="D153" i="20" l="1"/>
  <c r="C153" i="20"/>
  <c r="A154" i="20"/>
  <c r="F153" i="20"/>
  <c r="E153" i="20"/>
  <c r="B153" i="20"/>
  <c r="H153" i="20" s="1"/>
  <c r="J153" i="20" s="1"/>
  <c r="D154" i="20" l="1"/>
  <c r="C154" i="20"/>
  <c r="A155" i="20"/>
  <c r="F154" i="20"/>
  <c r="E154" i="20"/>
  <c r="B154" i="20"/>
  <c r="H154" i="20" s="1"/>
  <c r="J154" i="20" s="1"/>
  <c r="D155" i="20" l="1"/>
  <c r="C155" i="20"/>
  <c r="A156" i="20"/>
  <c r="F155" i="20"/>
  <c r="E155" i="20"/>
  <c r="B155" i="20"/>
  <c r="H155" i="20" s="1"/>
  <c r="J155" i="20" s="1"/>
  <c r="D156" i="20" l="1"/>
  <c r="C156" i="20"/>
  <c r="A157" i="20"/>
  <c r="F156" i="20"/>
  <c r="E156" i="20"/>
  <c r="B156" i="20"/>
  <c r="H156" i="20" s="1"/>
  <c r="J156" i="20" s="1"/>
  <c r="D157" i="20" l="1"/>
  <c r="C157" i="20"/>
  <c r="A158" i="20"/>
  <c r="F157" i="20"/>
  <c r="E157" i="20"/>
  <c r="B157" i="20"/>
  <c r="H157" i="20" s="1"/>
  <c r="J157" i="20" s="1"/>
  <c r="D158" i="20" l="1"/>
  <c r="C158" i="20"/>
  <c r="A159" i="20"/>
  <c r="F158" i="20"/>
  <c r="E158" i="20"/>
  <c r="B158" i="20"/>
  <c r="H158" i="20" s="1"/>
  <c r="J158" i="20" s="1"/>
  <c r="D159" i="20" l="1"/>
  <c r="C159" i="20"/>
  <c r="A160" i="20"/>
  <c r="F159" i="20"/>
  <c r="E159" i="20"/>
  <c r="B159" i="20"/>
  <c r="H159" i="20" s="1"/>
  <c r="J159" i="20" s="1"/>
  <c r="D160" i="20" l="1"/>
  <c r="C160" i="20"/>
  <c r="A161" i="20"/>
  <c r="F160" i="20"/>
  <c r="E160" i="20"/>
  <c r="B160" i="20"/>
  <c r="H160" i="20" s="1"/>
  <c r="J160" i="20" s="1"/>
  <c r="D161" i="20" l="1"/>
  <c r="C161" i="20"/>
  <c r="A162" i="20"/>
  <c r="F161" i="20"/>
  <c r="E161" i="20"/>
  <c r="B161" i="20"/>
  <c r="H161" i="20" s="1"/>
  <c r="J161" i="20" s="1"/>
  <c r="D162" i="20" l="1"/>
  <c r="C162" i="20"/>
  <c r="A163" i="20"/>
  <c r="F162" i="20"/>
  <c r="E162" i="20"/>
  <c r="B162" i="20"/>
  <c r="H162" i="20" s="1"/>
  <c r="J162" i="20" s="1"/>
  <c r="D163" i="20" l="1"/>
  <c r="C163" i="20"/>
  <c r="A164" i="20"/>
  <c r="F163" i="20"/>
  <c r="E163" i="20"/>
  <c r="B163" i="20"/>
  <c r="H163" i="20" s="1"/>
  <c r="J163" i="20" s="1"/>
  <c r="D164" i="20" l="1"/>
  <c r="C164" i="20"/>
  <c r="A165" i="20"/>
  <c r="F164" i="20"/>
  <c r="E164" i="20"/>
  <c r="B164" i="20"/>
  <c r="H164" i="20" s="1"/>
  <c r="J164" i="20" s="1"/>
  <c r="D165" i="20" l="1"/>
  <c r="C165" i="20"/>
  <c r="A166" i="20"/>
  <c r="F165" i="20"/>
  <c r="E165" i="20"/>
  <c r="B165" i="20"/>
  <c r="H165" i="20" s="1"/>
  <c r="J165" i="20" s="1"/>
  <c r="D166" i="20" l="1"/>
  <c r="C166" i="20"/>
  <c r="A167" i="20"/>
  <c r="F166" i="20"/>
  <c r="E166" i="20"/>
  <c r="B166" i="20"/>
  <c r="H166" i="20" s="1"/>
  <c r="J166" i="20" s="1"/>
  <c r="D167" i="20" l="1"/>
  <c r="C167" i="20"/>
  <c r="A168" i="20"/>
  <c r="F167" i="20"/>
  <c r="E167" i="20"/>
  <c r="B167" i="20"/>
  <c r="H167" i="20" s="1"/>
  <c r="J167" i="20" s="1"/>
  <c r="D168" i="20" l="1"/>
  <c r="C168" i="20"/>
  <c r="A169" i="20"/>
  <c r="F168" i="20"/>
  <c r="E168" i="20"/>
  <c r="B168" i="20"/>
  <c r="H168" i="20" s="1"/>
  <c r="J168" i="20" s="1"/>
  <c r="D169" i="20" l="1"/>
  <c r="C169" i="20"/>
  <c r="A170" i="20"/>
  <c r="F169" i="20"/>
  <c r="E169" i="20"/>
  <c r="B169" i="20"/>
  <c r="H169" i="20" s="1"/>
  <c r="J169" i="20" s="1"/>
  <c r="D170" i="20" l="1"/>
  <c r="C170" i="20"/>
  <c r="A171" i="20"/>
  <c r="F170" i="20"/>
  <c r="E170" i="20"/>
  <c r="B170" i="20"/>
  <c r="H170" i="20" s="1"/>
  <c r="J170" i="20" s="1"/>
  <c r="D171" i="20" l="1"/>
  <c r="C171" i="20"/>
  <c r="H171" i="20" s="1"/>
  <c r="J171" i="20" s="1"/>
  <c r="F171" i="20"/>
  <c r="B171" i="20"/>
  <c r="A172" i="20"/>
  <c r="E171" i="20"/>
  <c r="D172" i="20" l="1"/>
  <c r="C172" i="20"/>
  <c r="H172" i="20" s="1"/>
  <c r="J172" i="20" s="1"/>
  <c r="F172" i="20"/>
  <c r="B172" i="20"/>
  <c r="A173" i="20"/>
  <c r="E172" i="20"/>
  <c r="D173" i="20" l="1"/>
  <c r="C173" i="20"/>
  <c r="H173" i="20" s="1"/>
  <c r="J173" i="20" s="1"/>
  <c r="F173" i="20"/>
  <c r="B173" i="20"/>
  <c r="A174" i="20"/>
  <c r="E173" i="20"/>
  <c r="D174" i="20" l="1"/>
  <c r="C174" i="20"/>
  <c r="H174" i="20" s="1"/>
  <c r="J174" i="20" s="1"/>
  <c r="F174" i="20"/>
  <c r="B174" i="20"/>
  <c r="A175" i="20"/>
  <c r="E174" i="20"/>
  <c r="D175" i="20" l="1"/>
  <c r="C175" i="20"/>
  <c r="H175" i="20" s="1"/>
  <c r="J175" i="20" s="1"/>
  <c r="F175" i="20"/>
  <c r="B175" i="20"/>
  <c r="A176" i="20"/>
  <c r="E175" i="20"/>
  <c r="D176" i="20" l="1"/>
  <c r="C176" i="20"/>
  <c r="H176" i="20" s="1"/>
  <c r="J176" i="20" s="1"/>
  <c r="F176" i="20"/>
  <c r="B176" i="20"/>
  <c r="A177" i="20"/>
  <c r="E176" i="20"/>
  <c r="D177" i="20" l="1"/>
  <c r="C177" i="20"/>
  <c r="H177" i="20" s="1"/>
  <c r="J177" i="20" s="1"/>
  <c r="F177" i="20"/>
  <c r="B177" i="20"/>
  <c r="A178" i="20"/>
  <c r="E177" i="20"/>
  <c r="D178" i="20" l="1"/>
  <c r="C178" i="20"/>
  <c r="H178" i="20" s="1"/>
  <c r="J178" i="20" s="1"/>
  <c r="F178" i="20"/>
  <c r="B178" i="20"/>
  <c r="A179" i="20"/>
  <c r="E178" i="20"/>
  <c r="D179" i="20" l="1"/>
  <c r="C179" i="20"/>
  <c r="H179" i="20" s="1"/>
  <c r="J179" i="20" s="1"/>
  <c r="F179" i="20"/>
  <c r="B179" i="20"/>
  <c r="A180" i="20"/>
  <c r="E179" i="20"/>
  <c r="D180" i="20" l="1"/>
  <c r="C180" i="20"/>
  <c r="H180" i="20" s="1"/>
  <c r="J180" i="20" s="1"/>
  <c r="F180" i="20"/>
  <c r="B180" i="20"/>
  <c r="A181" i="20"/>
  <c r="E180" i="20"/>
  <c r="D181" i="20" l="1"/>
  <c r="C181" i="20"/>
  <c r="H181" i="20" s="1"/>
  <c r="J181" i="20" s="1"/>
  <c r="F181" i="20"/>
  <c r="B181" i="20"/>
  <c r="A182" i="20"/>
  <c r="E181" i="20"/>
  <c r="D182" i="20" l="1"/>
  <c r="C182" i="20"/>
  <c r="H182" i="20" s="1"/>
  <c r="J182" i="20" s="1"/>
  <c r="F182" i="20"/>
  <c r="B182" i="20"/>
  <c r="A183" i="20"/>
  <c r="E182" i="20"/>
  <c r="D183" i="20" l="1"/>
  <c r="C183" i="20"/>
  <c r="H183" i="20" s="1"/>
  <c r="J183" i="20" s="1"/>
  <c r="F183" i="20"/>
  <c r="B183" i="20"/>
  <c r="A184" i="20"/>
  <c r="E183" i="20"/>
  <c r="D184" i="20" l="1"/>
  <c r="C184" i="20"/>
  <c r="H184" i="20" s="1"/>
  <c r="J184" i="20" s="1"/>
  <c r="F184" i="20"/>
  <c r="B184" i="20"/>
  <c r="A185" i="20"/>
  <c r="E184" i="20"/>
  <c r="F185" i="20" l="1"/>
  <c r="A186" i="20"/>
  <c r="D185" i="20"/>
  <c r="C185" i="20"/>
  <c r="B185" i="20"/>
  <c r="H185" i="20" s="1"/>
  <c r="J185" i="20" s="1"/>
  <c r="E185" i="20"/>
  <c r="F186" i="20" l="1"/>
  <c r="B186" i="20"/>
  <c r="E186" i="20"/>
  <c r="A187" i="20"/>
  <c r="D186" i="20"/>
  <c r="C186" i="20"/>
  <c r="H186" i="20" s="1"/>
  <c r="J186" i="20" s="1"/>
  <c r="F187" i="20" l="1"/>
  <c r="B187" i="20"/>
  <c r="A188" i="20"/>
  <c r="D187" i="20"/>
  <c r="H187" i="20" s="1"/>
  <c r="J187" i="20" s="1"/>
  <c r="C187" i="20"/>
  <c r="E187" i="20"/>
  <c r="F188" i="20" l="1"/>
  <c r="B188" i="20"/>
  <c r="E188" i="20"/>
  <c r="A189" i="20"/>
  <c r="D188" i="20"/>
  <c r="C188" i="20"/>
  <c r="H188" i="20" s="1"/>
  <c r="J188" i="20" s="1"/>
  <c r="F189" i="20" l="1"/>
  <c r="B189" i="20"/>
  <c r="A190" i="20"/>
  <c r="D189" i="20"/>
  <c r="H189" i="20" s="1"/>
  <c r="J189" i="20" s="1"/>
  <c r="C189" i="20"/>
  <c r="E189" i="20"/>
  <c r="F190" i="20" l="1"/>
  <c r="B190" i="20"/>
  <c r="E190" i="20"/>
  <c r="A191" i="20"/>
  <c r="D190" i="20"/>
  <c r="C190" i="20"/>
  <c r="H190" i="20" s="1"/>
  <c r="J190" i="20" s="1"/>
  <c r="F191" i="20" l="1"/>
  <c r="B191" i="20"/>
  <c r="A192" i="20"/>
  <c r="D191" i="20"/>
  <c r="H191" i="20" s="1"/>
  <c r="J191" i="20" s="1"/>
  <c r="C191" i="20"/>
  <c r="E191" i="20"/>
  <c r="F192" i="20" l="1"/>
  <c r="B192" i="20"/>
  <c r="E192" i="20"/>
  <c r="A193" i="20"/>
  <c r="D192" i="20"/>
  <c r="C192" i="20"/>
  <c r="H192" i="20" s="1"/>
  <c r="J192" i="20" s="1"/>
  <c r="F193" i="20" l="1"/>
  <c r="B193" i="20"/>
  <c r="A194" i="20"/>
  <c r="D193" i="20"/>
  <c r="H193" i="20" s="1"/>
  <c r="J193" i="20" s="1"/>
  <c r="C193" i="20"/>
  <c r="E193" i="20"/>
  <c r="F194" i="20" l="1"/>
  <c r="B194" i="20"/>
  <c r="E194" i="20"/>
  <c r="A195" i="20"/>
  <c r="D194" i="20"/>
  <c r="C194" i="20"/>
  <c r="H194" i="20" s="1"/>
  <c r="J194" i="20" s="1"/>
  <c r="F195" i="20" l="1"/>
  <c r="B195" i="20"/>
  <c r="A196" i="20"/>
  <c r="D195" i="20"/>
  <c r="H195" i="20" s="1"/>
  <c r="J195" i="20" s="1"/>
  <c r="C195" i="20"/>
  <c r="E195" i="20"/>
  <c r="F196" i="20" l="1"/>
  <c r="B196" i="20"/>
  <c r="E196" i="20"/>
  <c r="A197" i="20"/>
  <c r="D196" i="20"/>
  <c r="C196" i="20"/>
  <c r="H196" i="20" s="1"/>
  <c r="J196" i="20" s="1"/>
  <c r="F197" i="20" l="1"/>
  <c r="B197" i="20"/>
  <c r="A198" i="20"/>
  <c r="D197" i="20"/>
  <c r="H197" i="20" s="1"/>
  <c r="J197" i="20" s="1"/>
  <c r="C197" i="20"/>
  <c r="E197" i="20"/>
  <c r="F198" i="20" l="1"/>
  <c r="B198" i="20"/>
  <c r="E198" i="20"/>
  <c r="A199" i="20"/>
  <c r="D198" i="20"/>
  <c r="C198" i="20"/>
  <c r="H198" i="20" s="1"/>
  <c r="J198" i="20" s="1"/>
  <c r="F199" i="20" l="1"/>
  <c r="B199" i="20"/>
  <c r="H199" i="20" s="1"/>
  <c r="J199" i="20" s="1"/>
  <c r="D199" i="20"/>
  <c r="A200" i="20"/>
  <c r="C199" i="20"/>
  <c r="E199" i="20"/>
  <c r="D200" i="20" l="1"/>
  <c r="F200" i="20"/>
  <c r="B200" i="20"/>
  <c r="H200" i="20" s="1"/>
  <c r="J200" i="20" s="1"/>
  <c r="C200" i="20"/>
  <c r="A201" i="20"/>
  <c r="E200" i="20"/>
  <c r="D201" i="20" l="1"/>
  <c r="F201" i="20"/>
  <c r="B201" i="20"/>
  <c r="C201" i="20"/>
  <c r="A202" i="20"/>
  <c r="H201" i="20"/>
  <c r="J201" i="20" s="1"/>
  <c r="E201" i="20"/>
  <c r="D202" i="20" l="1"/>
  <c r="F202" i="20"/>
  <c r="B202" i="20"/>
  <c r="H202" i="20" s="1"/>
  <c r="J202" i="20" s="1"/>
  <c r="C202" i="20"/>
  <c r="A203" i="20"/>
  <c r="E202" i="20"/>
  <c r="D203" i="20" l="1"/>
  <c r="C203" i="20"/>
  <c r="F203" i="20"/>
  <c r="B203" i="20"/>
  <c r="H203" i="20" s="1"/>
  <c r="J203" i="20" s="1"/>
  <c r="E203" i="20"/>
  <c r="A204" i="20"/>
  <c r="D204" i="20" l="1"/>
  <c r="C204" i="20"/>
  <c r="F204" i="20"/>
  <c r="B204" i="20"/>
  <c r="H204" i="20" s="1"/>
  <c r="J204" i="20" s="1"/>
  <c r="A205" i="20"/>
  <c r="E204" i="20"/>
  <c r="D205" i="20" l="1"/>
  <c r="C205" i="20"/>
  <c r="F205" i="20"/>
  <c r="B205" i="20"/>
  <c r="H205" i="20" s="1"/>
  <c r="J205" i="20" s="1"/>
  <c r="E205" i="20"/>
  <c r="A206" i="20"/>
  <c r="D206" i="20" l="1"/>
  <c r="C206" i="20"/>
  <c r="H206" i="20" s="1"/>
  <c r="J206" i="20" s="1"/>
  <c r="F206" i="20"/>
  <c r="B206" i="20"/>
  <c r="A207" i="20"/>
  <c r="E206" i="20"/>
  <c r="D207" i="20" l="1"/>
  <c r="C207" i="20"/>
  <c r="F207" i="20"/>
  <c r="B207" i="20"/>
  <c r="E207" i="20"/>
  <c r="H207" i="20" s="1"/>
  <c r="J207" i="20" s="1"/>
  <c r="A208" i="20"/>
  <c r="D208" i="20" l="1"/>
  <c r="C208" i="20"/>
  <c r="F208" i="20"/>
  <c r="B208" i="20"/>
  <c r="H208" i="20" s="1"/>
  <c r="J208" i="20" s="1"/>
  <c r="A209" i="20"/>
  <c r="E208" i="20"/>
  <c r="D209" i="20" l="1"/>
  <c r="C209" i="20"/>
  <c r="F209" i="20"/>
  <c r="B209" i="20"/>
  <c r="H209" i="20" s="1"/>
  <c r="J209" i="20" s="1"/>
  <c r="E209" i="20"/>
  <c r="A210" i="20"/>
  <c r="D210" i="20" l="1"/>
  <c r="C210" i="20"/>
  <c r="F210" i="20"/>
  <c r="B210" i="20"/>
  <c r="H210" i="20" s="1"/>
  <c r="J210" i="20" s="1"/>
  <c r="A211" i="20"/>
  <c r="E210" i="20"/>
  <c r="D211" i="20" l="1"/>
  <c r="C211" i="20"/>
  <c r="F211" i="20"/>
  <c r="B211" i="20"/>
  <c r="H211" i="20" s="1"/>
  <c r="J211" i="20" s="1"/>
  <c r="E211" i="20"/>
  <c r="A212" i="20"/>
  <c r="D212" i="20" l="1"/>
  <c r="C212" i="20"/>
  <c r="F212" i="20"/>
  <c r="B212" i="20"/>
  <c r="H212" i="20" s="1"/>
  <c r="J212" i="20" s="1"/>
  <c r="A213" i="20"/>
  <c r="E212" i="20"/>
  <c r="D213" i="20" l="1"/>
  <c r="H213" i="20"/>
  <c r="J213" i="20" s="1"/>
  <c r="C213" i="20"/>
  <c r="F213" i="20"/>
  <c r="B213" i="20"/>
  <c r="E213" i="20"/>
  <c r="A214" i="20"/>
  <c r="D214" i="20" l="1"/>
  <c r="C214" i="20"/>
  <c r="F214" i="20"/>
  <c r="B214" i="20"/>
  <c r="H214" i="20" s="1"/>
  <c r="J214" i="20" s="1"/>
  <c r="A215" i="20"/>
  <c r="E214" i="20"/>
  <c r="D215" i="20" l="1"/>
  <c r="C215" i="20"/>
  <c r="F215" i="20"/>
  <c r="B215" i="20"/>
  <c r="H215" i="20" s="1"/>
  <c r="J215" i="20" s="1"/>
  <c r="E215" i="20"/>
  <c r="A216" i="20"/>
  <c r="D216" i="20" l="1"/>
  <c r="C216" i="20"/>
  <c r="F216" i="20"/>
  <c r="B216" i="20"/>
  <c r="H216" i="20" s="1"/>
  <c r="J216" i="20" s="1"/>
  <c r="A217" i="20"/>
  <c r="E216" i="20"/>
  <c r="D217" i="20" l="1"/>
  <c r="C217" i="20"/>
  <c r="F217" i="20"/>
  <c r="B217" i="20"/>
  <c r="E217" i="20"/>
  <c r="H217" i="20" s="1"/>
  <c r="J217" i="20" s="1"/>
  <c r="A218" i="20"/>
  <c r="D218" i="20" l="1"/>
  <c r="C218" i="20"/>
  <c r="F218" i="20"/>
  <c r="B218" i="20"/>
  <c r="H218" i="20" s="1"/>
  <c r="J218" i="20" s="1"/>
  <c r="A219" i="20"/>
  <c r="E218" i="20"/>
  <c r="D219" i="20" l="1"/>
  <c r="C219" i="20"/>
  <c r="F219" i="20"/>
  <c r="B219" i="20"/>
  <c r="H219" i="20" s="1"/>
  <c r="J219" i="20" s="1"/>
  <c r="E219" i="20"/>
  <c r="A220" i="20"/>
  <c r="D220" i="20" l="1"/>
  <c r="C220" i="20"/>
  <c r="H220" i="20" s="1"/>
  <c r="J220" i="20" s="1"/>
  <c r="F220" i="20"/>
  <c r="B220" i="20"/>
  <c r="A221" i="20"/>
  <c r="E220" i="20"/>
  <c r="D221" i="20" l="1"/>
  <c r="C221" i="20"/>
  <c r="H221" i="20" s="1"/>
  <c r="J221" i="20" s="1"/>
  <c r="F221" i="20"/>
  <c r="B221" i="20"/>
  <c r="E221" i="20"/>
  <c r="A222" i="20"/>
  <c r="D222" i="20" l="1"/>
  <c r="C222" i="20"/>
  <c r="F222" i="20"/>
  <c r="B222" i="20"/>
  <c r="A223" i="20"/>
  <c r="E222" i="20"/>
  <c r="H222" i="20" s="1"/>
  <c r="J222" i="20" s="1"/>
  <c r="D223" i="20" l="1"/>
  <c r="C223" i="20"/>
  <c r="H223" i="20" s="1"/>
  <c r="J223" i="20" s="1"/>
  <c r="F223" i="20"/>
  <c r="B223" i="20"/>
  <c r="E223" i="20"/>
  <c r="A224" i="20"/>
  <c r="D224" i="20" l="1"/>
  <c r="C224" i="20"/>
  <c r="H224" i="20" s="1"/>
  <c r="J224" i="20" s="1"/>
  <c r="F224" i="20"/>
  <c r="B224" i="20"/>
  <c r="A225" i="20"/>
  <c r="E224" i="20"/>
  <c r="D225" i="20" l="1"/>
  <c r="C225" i="20"/>
  <c r="H225" i="20" s="1"/>
  <c r="J225" i="20" s="1"/>
  <c r="F225" i="20"/>
  <c r="B225" i="20"/>
  <c r="E225" i="20"/>
  <c r="A226" i="20"/>
  <c r="D226" i="20" l="1"/>
  <c r="C226" i="20"/>
  <c r="H226" i="20" s="1"/>
  <c r="J226" i="20" s="1"/>
  <c r="F226" i="20"/>
  <c r="B226" i="20"/>
  <c r="A227" i="20"/>
  <c r="E226" i="20"/>
  <c r="D227" i="20" l="1"/>
  <c r="C227" i="20"/>
  <c r="H227" i="20" s="1"/>
  <c r="J227" i="20" s="1"/>
  <c r="F227" i="20"/>
  <c r="B227" i="20"/>
  <c r="E227" i="20"/>
  <c r="A228" i="20"/>
  <c r="D228" i="20" l="1"/>
  <c r="C228" i="20"/>
  <c r="F228" i="20"/>
  <c r="B228" i="20"/>
  <c r="H228" i="20" s="1"/>
  <c r="J228" i="20" s="1"/>
  <c r="A229" i="20"/>
  <c r="E228" i="20"/>
  <c r="A230" i="20" l="1"/>
  <c r="D229" i="20"/>
  <c r="C229" i="20"/>
  <c r="F229" i="20"/>
  <c r="B229" i="20"/>
  <c r="H229" i="20" s="1"/>
  <c r="J229" i="20" s="1"/>
  <c r="E229" i="20"/>
  <c r="D230" i="20" l="1"/>
  <c r="C230" i="20"/>
  <c r="A231" i="20"/>
  <c r="F230" i="20"/>
  <c r="E230" i="20"/>
  <c r="B230" i="20"/>
  <c r="H230" i="20" s="1"/>
  <c r="J230" i="20" s="1"/>
  <c r="D231" i="20" l="1"/>
  <c r="C231" i="20"/>
  <c r="A232" i="20"/>
  <c r="F231" i="20"/>
  <c r="E231" i="20"/>
  <c r="B231" i="20"/>
  <c r="H231" i="20" s="1"/>
  <c r="J231" i="20" s="1"/>
  <c r="D232" i="20" l="1"/>
  <c r="C232" i="20"/>
  <c r="A233" i="20"/>
  <c r="F232" i="20"/>
  <c r="E232" i="20"/>
  <c r="B232" i="20"/>
  <c r="H232" i="20" s="1"/>
  <c r="J232" i="20" s="1"/>
  <c r="D233" i="20" l="1"/>
  <c r="C233" i="20"/>
  <c r="A234" i="20"/>
  <c r="F233" i="20"/>
  <c r="E233" i="20"/>
  <c r="B233" i="20"/>
  <c r="H233" i="20" s="1"/>
  <c r="J233" i="20" s="1"/>
  <c r="D234" i="20" l="1"/>
  <c r="C234" i="20"/>
  <c r="A235" i="20"/>
  <c r="F234" i="20"/>
  <c r="E234" i="20"/>
  <c r="B234" i="20"/>
  <c r="H234" i="20" s="1"/>
  <c r="J234" i="20" s="1"/>
  <c r="A236" i="20" l="1"/>
  <c r="D235" i="20"/>
  <c r="C235" i="20"/>
  <c r="F235" i="20"/>
  <c r="E235" i="20"/>
  <c r="B235" i="20"/>
  <c r="H235" i="20" s="1"/>
  <c r="J235" i="20" s="1"/>
  <c r="A237" i="20" l="1"/>
  <c r="E236" i="20"/>
  <c r="D236" i="20"/>
  <c r="H236" i="20"/>
  <c r="J236" i="20" s="1"/>
  <c r="C236" i="20"/>
  <c r="B236" i="20"/>
  <c r="F236" i="20"/>
  <c r="A238" i="20" l="1"/>
  <c r="E237" i="20"/>
  <c r="D237" i="20"/>
  <c r="H237" i="20"/>
  <c r="J237" i="20" s="1"/>
  <c r="C237" i="20"/>
  <c r="F237" i="20"/>
  <c r="B237" i="20"/>
  <c r="A239" i="20" l="1"/>
  <c r="E238" i="20"/>
  <c r="D238" i="20"/>
  <c r="H238" i="20"/>
  <c r="J238" i="20" s="1"/>
  <c r="C238" i="20"/>
  <c r="B238" i="20"/>
  <c r="F238" i="20"/>
  <c r="A240" i="20" l="1"/>
  <c r="E239" i="20"/>
  <c r="D239" i="20"/>
  <c r="H239" i="20"/>
  <c r="J239" i="20" s="1"/>
  <c r="C239" i="20"/>
  <c r="F239" i="20"/>
  <c r="B239" i="20"/>
  <c r="A241" i="20" l="1"/>
  <c r="E240" i="20"/>
  <c r="D240" i="20"/>
  <c r="H240" i="20"/>
  <c r="J240" i="20" s="1"/>
  <c r="C240" i="20"/>
  <c r="B240" i="20"/>
  <c r="F240" i="20"/>
  <c r="A242" i="20" l="1"/>
  <c r="E241" i="20"/>
  <c r="D241" i="20"/>
  <c r="H241" i="20"/>
  <c r="J241" i="20" s="1"/>
  <c r="C241" i="20"/>
  <c r="F241" i="20"/>
  <c r="B241" i="20"/>
  <c r="A243" i="20" l="1"/>
  <c r="E242" i="20"/>
  <c r="D242" i="20"/>
  <c r="H242" i="20"/>
  <c r="J242" i="20" s="1"/>
  <c r="C242" i="20"/>
  <c r="B242" i="20"/>
  <c r="F242" i="20"/>
  <c r="A244" i="20" l="1"/>
  <c r="E243" i="20"/>
  <c r="D243" i="20"/>
  <c r="H243" i="20"/>
  <c r="J243" i="20" s="1"/>
  <c r="C243" i="20"/>
  <c r="F243" i="20"/>
  <c r="B243" i="20"/>
  <c r="A245" i="20" l="1"/>
  <c r="E244" i="20"/>
  <c r="D244" i="20"/>
  <c r="H244" i="20"/>
  <c r="J244" i="20" s="1"/>
  <c r="C244" i="20"/>
  <c r="B244" i="20"/>
  <c r="F244" i="20"/>
  <c r="A246" i="20" l="1"/>
  <c r="E245" i="20"/>
  <c r="D245" i="20"/>
  <c r="C245" i="20"/>
  <c r="F245" i="20"/>
  <c r="B245" i="20"/>
  <c r="H245" i="20" s="1"/>
  <c r="J245" i="20" s="1"/>
  <c r="A247" i="20" l="1"/>
  <c r="E246" i="20"/>
  <c r="D246" i="20"/>
  <c r="C246" i="20"/>
  <c r="B246" i="20"/>
  <c r="F246" i="20"/>
  <c r="H246" i="20" s="1"/>
  <c r="J246" i="20" s="1"/>
  <c r="A248" i="20" l="1"/>
  <c r="E247" i="20"/>
  <c r="D247" i="20"/>
  <c r="C247" i="20"/>
  <c r="F247" i="20"/>
  <c r="B247" i="20"/>
  <c r="H247" i="20" s="1"/>
  <c r="J247" i="20" s="1"/>
  <c r="A249" i="20" l="1"/>
  <c r="E248" i="20"/>
  <c r="D248" i="20"/>
  <c r="C248" i="20"/>
  <c r="B248" i="20"/>
  <c r="F248" i="20"/>
  <c r="H248" i="20" s="1"/>
  <c r="J248" i="20" s="1"/>
  <c r="A250" i="20" l="1"/>
  <c r="E249" i="20"/>
  <c r="D249" i="20"/>
  <c r="H249" i="20"/>
  <c r="J249" i="20" s="1"/>
  <c r="C249" i="20"/>
  <c r="F249" i="20"/>
  <c r="B249" i="20"/>
  <c r="A251" i="20" l="1"/>
  <c r="E250" i="20"/>
  <c r="D250" i="20"/>
  <c r="H250" i="20"/>
  <c r="J250" i="20" s="1"/>
  <c r="C250" i="20"/>
  <c r="B250" i="20"/>
  <c r="F250" i="20"/>
  <c r="A252" i="20" l="1"/>
  <c r="E251" i="20"/>
  <c r="D251" i="20"/>
  <c r="H251" i="20"/>
  <c r="J251" i="20" s="1"/>
  <c r="C251" i="20"/>
  <c r="F251" i="20"/>
  <c r="B251" i="20"/>
  <c r="A253" i="20" l="1"/>
  <c r="E252" i="20"/>
  <c r="D252" i="20"/>
  <c r="H252" i="20"/>
  <c r="J252" i="20" s="1"/>
  <c r="C252" i="20"/>
  <c r="B252" i="20"/>
  <c r="F252" i="20"/>
  <c r="A254" i="20" l="1"/>
  <c r="E253" i="20"/>
  <c r="D253" i="20"/>
  <c r="H253" i="20"/>
  <c r="J253" i="20" s="1"/>
  <c r="C253" i="20"/>
  <c r="F253" i="20"/>
  <c r="B253" i="20"/>
  <c r="A255" i="20" l="1"/>
  <c r="E254" i="20"/>
  <c r="D254" i="20"/>
  <c r="H254" i="20"/>
  <c r="J254" i="20" s="1"/>
  <c r="C254" i="20"/>
  <c r="B254" i="20"/>
  <c r="F254" i="20"/>
  <c r="A256" i="20" l="1"/>
  <c r="E255" i="20"/>
  <c r="D255" i="20"/>
  <c r="H255" i="20"/>
  <c r="J255" i="20" s="1"/>
  <c r="C255" i="20"/>
  <c r="F255" i="20"/>
  <c r="B255" i="20"/>
  <c r="A257" i="20" l="1"/>
  <c r="E256" i="20"/>
  <c r="D256" i="20"/>
  <c r="C256" i="20"/>
  <c r="B256" i="20"/>
  <c r="F256" i="20"/>
  <c r="H256" i="20" s="1"/>
  <c r="J256" i="20" s="1"/>
  <c r="A258" i="20" l="1"/>
  <c r="E257" i="20"/>
  <c r="D257" i="20"/>
  <c r="C257" i="20"/>
  <c r="F257" i="20"/>
  <c r="B257" i="20"/>
  <c r="H257" i="20" s="1"/>
  <c r="J257" i="20" s="1"/>
  <c r="F258" i="20" l="1"/>
  <c r="E258" i="20"/>
  <c r="A259" i="20"/>
  <c r="D258" i="20"/>
  <c r="C258" i="20"/>
  <c r="H258" i="20" s="1"/>
  <c r="J258" i="20" s="1"/>
  <c r="B258" i="20"/>
  <c r="F259" i="20" l="1"/>
  <c r="B259" i="20"/>
  <c r="C259" i="20"/>
  <c r="E259" i="20"/>
  <c r="A260" i="20"/>
  <c r="D259" i="20"/>
  <c r="H259" i="20" s="1"/>
  <c r="J259" i="20" s="1"/>
  <c r="F260" i="20" l="1"/>
  <c r="B260" i="20"/>
  <c r="E260" i="20"/>
  <c r="A261" i="20"/>
  <c r="D260" i="20"/>
  <c r="C260" i="20"/>
  <c r="H260" i="20"/>
  <c r="J260" i="20" s="1"/>
  <c r="F261" i="20" l="1"/>
  <c r="B261" i="20"/>
  <c r="C261" i="20"/>
  <c r="H261" i="20"/>
  <c r="J261" i="20" s="1"/>
  <c r="E261" i="20"/>
  <c r="A262" i="20"/>
  <c r="D261" i="20"/>
  <c r="D262" i="20" l="1"/>
  <c r="F262" i="20"/>
  <c r="B262" i="20"/>
  <c r="H262" i="20"/>
  <c r="J262" i="20" s="1"/>
  <c r="E262" i="20"/>
  <c r="C262" i="20"/>
  <c r="A263" i="20"/>
  <c r="D263" i="20" l="1"/>
  <c r="F263" i="20"/>
  <c r="B263" i="20"/>
  <c r="H263" i="20"/>
  <c r="J263" i="20" s="1"/>
  <c r="E263" i="20"/>
  <c r="C263" i="20"/>
  <c r="A264" i="20"/>
  <c r="D264" i="20" l="1"/>
  <c r="F264" i="20"/>
  <c r="B264" i="20"/>
  <c r="H264" i="20"/>
  <c r="J264" i="20" s="1"/>
  <c r="E264" i="20"/>
  <c r="C264" i="20"/>
  <c r="A265" i="20"/>
  <c r="D265" i="20" l="1"/>
  <c r="F265" i="20"/>
  <c r="B265" i="20"/>
  <c r="H265" i="20"/>
  <c r="J265" i="20" s="1"/>
  <c r="E265" i="20"/>
  <c r="C265" i="20"/>
  <c r="A266" i="20"/>
  <c r="D266" i="20" l="1"/>
  <c r="F266" i="20"/>
  <c r="B266" i="20"/>
  <c r="H266" i="20"/>
  <c r="J266" i="20" s="1"/>
  <c r="E266" i="20"/>
  <c r="C266" i="20"/>
  <c r="A267" i="20"/>
  <c r="D267" i="20" l="1"/>
  <c r="F267" i="20"/>
  <c r="B267" i="20"/>
  <c r="H267" i="20" s="1"/>
  <c r="J267" i="20" s="1"/>
  <c r="E267" i="20"/>
  <c r="C267" i="20"/>
  <c r="A268" i="20"/>
  <c r="D268" i="20" l="1"/>
  <c r="F268" i="20"/>
  <c r="B268" i="20"/>
  <c r="H268" i="20"/>
  <c r="J268" i="20" s="1"/>
  <c r="E268" i="20"/>
  <c r="C268" i="20"/>
  <c r="A269" i="20"/>
  <c r="D269" i="20" l="1"/>
  <c r="C269" i="20"/>
  <c r="H269" i="20" s="1"/>
  <c r="J269" i="20" s="1"/>
  <c r="F269" i="20"/>
  <c r="B269" i="20"/>
  <c r="A270" i="20"/>
  <c r="E269" i="20"/>
  <c r="D270" i="20" l="1"/>
  <c r="C270" i="20"/>
  <c r="H270" i="20" s="1"/>
  <c r="J270" i="20" s="1"/>
  <c r="F270" i="20"/>
  <c r="B270" i="20"/>
  <c r="E270" i="20"/>
  <c r="A271" i="20"/>
  <c r="D271" i="20" l="1"/>
  <c r="C271" i="20"/>
  <c r="H271" i="20" s="1"/>
  <c r="J271" i="20" s="1"/>
  <c r="F271" i="20"/>
  <c r="B271" i="20"/>
  <c r="A272" i="20"/>
  <c r="E271" i="20"/>
  <c r="D272" i="20" l="1"/>
  <c r="C272" i="20"/>
  <c r="F272" i="20"/>
  <c r="B272" i="20"/>
  <c r="H272" i="20" s="1"/>
  <c r="J272" i="20" s="1"/>
  <c r="E272" i="20"/>
  <c r="A273" i="20"/>
  <c r="D273" i="20" l="1"/>
  <c r="C273" i="20"/>
  <c r="F273" i="20"/>
  <c r="B273" i="20"/>
  <c r="H273" i="20" s="1"/>
  <c r="J273" i="20" s="1"/>
  <c r="A274" i="20"/>
  <c r="E273" i="20"/>
  <c r="D274" i="20" l="1"/>
  <c r="C274" i="20"/>
  <c r="F274" i="20"/>
  <c r="B274" i="20"/>
  <c r="H274" i="20" s="1"/>
  <c r="J274" i="20" s="1"/>
  <c r="E274" i="20"/>
  <c r="A275" i="20"/>
  <c r="D275" i="20" l="1"/>
  <c r="C275" i="20"/>
  <c r="H275" i="20" s="1"/>
  <c r="J275" i="20" s="1"/>
  <c r="F275" i="20"/>
  <c r="B275" i="20"/>
  <c r="A276" i="20"/>
  <c r="E275" i="20"/>
  <c r="D276" i="20" l="1"/>
  <c r="C276" i="20"/>
  <c r="H276" i="20" s="1"/>
  <c r="J276" i="20" s="1"/>
  <c r="F276" i="20"/>
  <c r="B276" i="20"/>
  <c r="E276" i="20"/>
  <c r="A277" i="20"/>
  <c r="D277" i="20" l="1"/>
  <c r="C277" i="20"/>
  <c r="H277" i="20" s="1"/>
  <c r="J277" i="20" s="1"/>
  <c r="F277" i="20"/>
  <c r="B277" i="20"/>
  <c r="A278" i="20"/>
  <c r="E277" i="20"/>
  <c r="D278" i="20" l="1"/>
  <c r="C278" i="20"/>
  <c r="H278" i="20" s="1"/>
  <c r="J278" i="20" s="1"/>
  <c r="F278" i="20"/>
  <c r="B278" i="20"/>
  <c r="E278" i="20"/>
  <c r="A279" i="20"/>
  <c r="D279" i="20" l="1"/>
  <c r="C279" i="20"/>
  <c r="H279" i="20" s="1"/>
  <c r="J279" i="20" s="1"/>
  <c r="F279" i="20"/>
  <c r="B279" i="20"/>
  <c r="A280" i="20"/>
  <c r="E279" i="20"/>
  <c r="D280" i="20" l="1"/>
  <c r="C280" i="20"/>
  <c r="F280" i="20"/>
  <c r="B280" i="20"/>
  <c r="H280" i="20" s="1"/>
  <c r="J280" i="20" s="1"/>
  <c r="E280" i="20"/>
  <c r="A281" i="20"/>
  <c r="D281" i="20" l="1"/>
  <c r="C281" i="20"/>
  <c r="F281" i="20"/>
  <c r="B281" i="20"/>
  <c r="H281" i="20" s="1"/>
  <c r="J281" i="20" s="1"/>
  <c r="A282" i="20"/>
  <c r="E281" i="20"/>
  <c r="D282" i="20" l="1"/>
  <c r="C282" i="20"/>
  <c r="H282" i="20" s="1"/>
  <c r="J282" i="20" s="1"/>
  <c r="F282" i="20"/>
  <c r="B282" i="20"/>
  <c r="E282" i="20"/>
  <c r="A283" i="20"/>
  <c r="D283" i="20" l="1"/>
  <c r="C283" i="20"/>
  <c r="F283" i="20"/>
  <c r="B283" i="20"/>
  <c r="H283" i="20" s="1"/>
  <c r="J283" i="20" s="1"/>
  <c r="A284" i="20"/>
  <c r="E283" i="20"/>
  <c r="D284" i="20" l="1"/>
  <c r="C284" i="20"/>
  <c r="H284" i="20" s="1"/>
  <c r="J284" i="20" s="1"/>
  <c r="F284" i="20"/>
  <c r="B284" i="20"/>
  <c r="E284" i="20"/>
  <c r="A285" i="20"/>
  <c r="D285" i="20" l="1"/>
  <c r="C285" i="20"/>
  <c r="F285" i="20"/>
  <c r="B285" i="20"/>
  <c r="H285" i="20" s="1"/>
  <c r="J285" i="20" s="1"/>
  <c r="A286" i="20"/>
  <c r="E285" i="20"/>
  <c r="D286" i="20" l="1"/>
  <c r="C286" i="20"/>
  <c r="H286" i="20" s="1"/>
  <c r="J286" i="20" s="1"/>
  <c r="F286" i="20"/>
  <c r="B286" i="20"/>
  <c r="E286" i="20"/>
  <c r="A287" i="20"/>
  <c r="D287" i="20" l="1"/>
  <c r="C287" i="20"/>
  <c r="H287" i="20" s="1"/>
  <c r="J287" i="20" s="1"/>
  <c r="F287" i="20"/>
  <c r="B287" i="20"/>
  <c r="A288" i="20"/>
  <c r="E287" i="20"/>
  <c r="D288" i="20" l="1"/>
  <c r="C288" i="20"/>
  <c r="H288" i="20" s="1"/>
  <c r="J288" i="20" s="1"/>
  <c r="F288" i="20"/>
  <c r="B288" i="20"/>
  <c r="E288" i="20"/>
  <c r="A289" i="20"/>
  <c r="D289" i="20" l="1"/>
  <c r="C289" i="20"/>
  <c r="H289" i="20" s="1"/>
  <c r="J289" i="20" s="1"/>
  <c r="F289" i="20"/>
  <c r="B289" i="20"/>
  <c r="A290" i="20"/>
  <c r="E289" i="20"/>
  <c r="D290" i="20" l="1"/>
  <c r="C290" i="20"/>
  <c r="H290" i="20" s="1"/>
  <c r="J290" i="20" s="1"/>
  <c r="F290" i="20"/>
  <c r="B290" i="20"/>
  <c r="E290" i="20"/>
  <c r="A291" i="20"/>
  <c r="D291" i="20" l="1"/>
  <c r="C291" i="20"/>
  <c r="H291" i="20" s="1"/>
  <c r="J291" i="20" s="1"/>
  <c r="F291" i="20"/>
  <c r="B291" i="20"/>
  <c r="A292" i="20"/>
  <c r="E291" i="20"/>
  <c r="D292" i="20" l="1"/>
  <c r="C292" i="20"/>
  <c r="F292" i="20"/>
  <c r="B292" i="20"/>
  <c r="H292" i="20" s="1"/>
  <c r="J292" i="20" s="1"/>
  <c r="E292" i="20"/>
  <c r="A293" i="20"/>
  <c r="D293" i="20" l="1"/>
  <c r="C293" i="20"/>
  <c r="H293" i="20" s="1"/>
  <c r="J293" i="20" s="1"/>
  <c r="F293" i="20"/>
  <c r="B293" i="20"/>
  <c r="A294" i="20"/>
  <c r="E293" i="20"/>
  <c r="D294" i="20" l="1"/>
  <c r="C294" i="20"/>
  <c r="F294" i="20"/>
  <c r="B294" i="20"/>
  <c r="H294" i="20" s="1"/>
  <c r="J294" i="20" s="1"/>
  <c r="E294" i="20"/>
  <c r="A295" i="20"/>
  <c r="D295" i="20" l="1"/>
  <c r="C295" i="20"/>
  <c r="F295" i="20"/>
  <c r="B295" i="20"/>
  <c r="H295" i="20" s="1"/>
  <c r="J295" i="20" s="1"/>
  <c r="A296" i="20"/>
  <c r="E295" i="20"/>
  <c r="D296" i="20" l="1"/>
  <c r="C296" i="20"/>
  <c r="F296" i="20"/>
  <c r="B296" i="20"/>
  <c r="H296" i="20" s="1"/>
  <c r="J296" i="20" s="1"/>
  <c r="E296" i="20"/>
  <c r="A297" i="20"/>
  <c r="D297" i="20" l="1"/>
  <c r="C297" i="20"/>
  <c r="H297" i="20" s="1"/>
  <c r="J297" i="20" s="1"/>
  <c r="F297" i="20"/>
  <c r="B297" i="20"/>
  <c r="A298" i="20"/>
  <c r="E297" i="20"/>
  <c r="D298" i="20" l="1"/>
  <c r="C298" i="20"/>
  <c r="H298" i="20" s="1"/>
  <c r="J298" i="20" s="1"/>
  <c r="F298" i="20"/>
  <c r="B298" i="20"/>
  <c r="E298" i="20"/>
  <c r="A299" i="20"/>
  <c r="D299" i="20" l="1"/>
  <c r="C299" i="20"/>
  <c r="F299" i="20"/>
  <c r="B299" i="20"/>
  <c r="H299" i="20" s="1"/>
  <c r="J299" i="20" s="1"/>
  <c r="A300" i="20"/>
  <c r="E299" i="20"/>
  <c r="D300" i="20" l="1"/>
  <c r="C300" i="20"/>
  <c r="H300" i="20" s="1"/>
  <c r="J300" i="20" s="1"/>
  <c r="F300" i="20"/>
  <c r="B300" i="20"/>
  <c r="E300" i="20"/>
</calcChain>
</file>

<file path=xl/sharedStrings.xml><?xml version="1.0" encoding="utf-8"?>
<sst xmlns="http://schemas.openxmlformats.org/spreadsheetml/2006/main" count="921" uniqueCount="327">
  <si>
    <t>Water</t>
  </si>
  <si>
    <t>Total</t>
  </si>
  <si>
    <t>1. Actual Data</t>
  </si>
  <si>
    <t>2. Cell Percentages, actual data</t>
  </si>
  <si>
    <t>4. Cell counts under the hypothesis of independence (cell frequencies in Table 3, multiplied by 75)</t>
  </si>
  <si>
    <t>3. Take marginal percentages from Table 2, and multiply.  This is the central idea of 'independence'</t>
  </si>
  <si>
    <t>P</t>
  </si>
  <si>
    <t>P/(1-P)</t>
  </si>
  <si>
    <t>2.  Probabilities for the Blue Frogs</t>
  </si>
  <si>
    <t>3. The odds of living on a lilly Pad, if you are a Blue frog</t>
  </si>
  <si>
    <t>4. The odds of living on a lilly pad, if you are a green frog:</t>
  </si>
  <si>
    <t>5.  The odds ratio is a the ratio of the two odds</t>
  </si>
  <si>
    <t>6.  Odds ratio is the cross product, AD/BC</t>
  </si>
  <si>
    <t>var</t>
  </si>
  <si>
    <t>std</t>
  </si>
  <si>
    <t>9.  The natural log of the odds ratio</t>
  </si>
  <si>
    <t>8.  Standard Deviation is square root of the variance of the log odds ratio</t>
  </si>
  <si>
    <t>7.  The Variance of the log odds ratio is 1/A + 1/B + 1/C +1/D</t>
  </si>
  <si>
    <t>10.  The estimated log odds ratio is Normally distributed</t>
  </si>
  <si>
    <t>Z=</t>
  </si>
  <si>
    <t>This tells us that Blue frogs are not significantly over represented in Lilly Pads</t>
  </si>
  <si>
    <t>11. From Class 1 Cell counts under the hypothesis of independence (cell frequencies in Table 3, multiplied by 75)</t>
  </si>
  <si>
    <t>Odds Ratio:</t>
  </si>
  <si>
    <t>Log Odds Ratio</t>
  </si>
  <si>
    <t>12.  Now put the Actual data in to a form that STATA can use</t>
  </si>
  <si>
    <t>Color</t>
  </si>
  <si>
    <t>live</t>
  </si>
  <si>
    <t>count</t>
  </si>
  <si>
    <t>1.  Odds Ratio is a cross product AD/BC</t>
  </si>
  <si>
    <t>Odds Ratio</t>
  </si>
  <si>
    <t>AD/BC</t>
  </si>
  <si>
    <t>SE of Log OR</t>
  </si>
  <si>
    <t>Interp</t>
  </si>
  <si>
    <t>Saturated Model</t>
  </si>
  <si>
    <t>BC/AD</t>
  </si>
  <si>
    <t>"The log odds of living in the water are 0.245 lower if you are Blue"</t>
  </si>
  <si>
    <t>"the log odds of living on a lilly pad are 0.245 higher if you are Blue" OR "The log odds of Being Blue are 0.245 higher if you are living on a lilly pad"</t>
  </si>
  <si>
    <t>2. New Data Set:</t>
  </si>
  <si>
    <t>Husband's Education</t>
  </si>
  <si>
    <t>Individual cell contributions to the LR goodness of fit test</t>
  </si>
  <si>
    <t>1)log odds of living on the lillypad, Blue frogs compared to Green (Blue frogs are slightly over-represented on Lillypads</t>
  </si>
  <si>
    <t>2) This is the log odds of living in the Water, Blue frogs compared to Green (Blue frogs are slightly under-represented in the water)</t>
  </si>
  <si>
    <t>This is the goodness of fit chisquare stat for the independence model</t>
  </si>
  <si>
    <t>Model #</t>
  </si>
  <si>
    <t>Description</t>
  </si>
  <si>
    <t>terms in model</t>
  </si>
  <si>
    <t>residual df</t>
  </si>
  <si>
    <t>goodness of</t>
  </si>
  <si>
    <t>fit chisquare</t>
  </si>
  <si>
    <t>constant</t>
  </si>
  <si>
    <t>indep</t>
  </si>
  <si>
    <t>It turns out that the log of the odds ratio is normally distributed</t>
  </si>
  <si>
    <t>The odds ratio of 1, or the log odds ratio of 0 corresponds to NO interaction, which is how this second dataset was created</t>
  </si>
  <si>
    <t>Indep+1 endog</t>
  </si>
  <si>
    <t>indep+full endog</t>
  </si>
  <si>
    <t xml:space="preserve">Chisquare </t>
  </si>
  <si>
    <t>diff from const</t>
  </si>
  <si>
    <t>Question:  Does educational endogamy vary significantly by educational class?</t>
  </si>
  <si>
    <t>chisquare</t>
  </si>
  <si>
    <t>df</t>
  </si>
  <si>
    <t>BIC</t>
  </si>
  <si>
    <t>N=</t>
  </si>
  <si>
    <t>Wife's education</t>
  </si>
  <si>
    <t>sum</t>
  </si>
  <si>
    <t>New Dataset of educational interaction, from Qian 1997</t>
  </si>
  <si>
    <t>hed</t>
  </si>
  <si>
    <t>wed</t>
  </si>
  <si>
    <t>Frog color</t>
  </si>
  <si>
    <t>Blue</t>
  </si>
  <si>
    <t>Green</t>
  </si>
  <si>
    <t>Live</t>
  </si>
  <si>
    <t>Lilly pad</t>
  </si>
  <si>
    <t>W</t>
  </si>
  <si>
    <t>B</t>
  </si>
  <si>
    <t>M</t>
  </si>
  <si>
    <t>OH</t>
  </si>
  <si>
    <t>O</t>
  </si>
  <si>
    <t>X</t>
  </si>
  <si>
    <t>Y</t>
  </si>
  <si>
    <t>Goodness</t>
  </si>
  <si>
    <t>of fit P</t>
  </si>
  <si>
    <t>mod 4 + eddiff3</t>
  </si>
  <si>
    <t>mod 4+ eddiff3 +eddiff2</t>
  </si>
  <si>
    <t>mod6 + eddiff1 male</t>
  </si>
  <si>
    <t>mod6 + eddiff1 male+ ediff3male</t>
  </si>
  <si>
    <t>The above represents summary statistics from models to fit the 4X4 educational intermarriage data (see class 6)</t>
  </si>
  <si>
    <t>The output is in a text box below</t>
  </si>
  <si>
    <t>Today we're going to work on how to make sense of the coefficients.</t>
  </si>
  <si>
    <t>These are the coefficients from the model:</t>
  </si>
  <si>
    <t>Wife's Ed</t>
  </si>
  <si>
    <t>Husband's</t>
  </si>
  <si>
    <t>Ed</t>
  </si>
  <si>
    <t>These are the coefficients from the model which are adjusted to sum to zero</t>
  </si>
  <si>
    <t>The odds of marrying a woman from each group</t>
  </si>
  <si>
    <t>relative to educational endogamy</t>
  </si>
  <si>
    <t>For College educated men</t>
  </si>
  <si>
    <t>log odds ratio</t>
  </si>
  <si>
    <t>Woman's ed</t>
  </si>
  <si>
    <t>Inverse</t>
  </si>
  <si>
    <t>significance</t>
  </si>
  <si>
    <t>comparison</t>
  </si>
  <si>
    <t>***</t>
  </si>
  <si>
    <t>For men in ed category 3 (some college</t>
  </si>
  <si>
    <t>What are the odds of marrying a woman in each category, relative to ed endogamy?</t>
  </si>
  <si>
    <t>inverse comparison</t>
  </si>
  <si>
    <t>Lilly</t>
  </si>
  <si>
    <t>The sum:</t>
  </si>
  <si>
    <t>Each cell's contribution</t>
  </si>
  <si>
    <t>The Sum</t>
  </si>
  <si>
    <t>Each Cell's contribution</t>
  </si>
  <si>
    <t>Individual cell contributions to the Pearson chisquare goodness of fit test</t>
  </si>
  <si>
    <t>Total N=</t>
  </si>
  <si>
    <t>of the model</t>
  </si>
  <si>
    <t>Log likelihood</t>
  </si>
  <si>
    <t>minus 2 *</t>
  </si>
  <si>
    <t xml:space="preserve">BIC (compared to </t>
  </si>
  <si>
    <t>saturated)</t>
  </si>
  <si>
    <t xml:space="preserve">Some notes on interpretation of coefficients </t>
  </si>
  <si>
    <t>3a</t>
  </si>
  <si>
    <t>Indep+ college Endogamy</t>
  </si>
  <si>
    <t>These are the coefficients from Model 8</t>
  </si>
  <si>
    <t>Mod 8 but combine fist two categories</t>
  </si>
  <si>
    <t>in educational endogamy</t>
  </si>
  <si>
    <t>defendant</t>
  </si>
  <si>
    <t>victim</t>
  </si>
  <si>
    <t>white</t>
  </si>
  <si>
    <t>black</t>
  </si>
  <si>
    <t>The Data (Agresti 1990, Table 5.1)</t>
  </si>
  <si>
    <t>Loglinear Models</t>
  </si>
  <si>
    <t>1) Constant only</t>
  </si>
  <si>
    <t>log likelihood</t>
  </si>
  <si>
    <t>terms</t>
  </si>
  <si>
    <t>GOF Chisquare</t>
  </si>
  <si>
    <t>3) D, V, P</t>
  </si>
  <si>
    <t>Minus 2LL</t>
  </si>
  <si>
    <t>2) P</t>
  </si>
  <si>
    <t>Logistic Equivalent</t>
  </si>
  <si>
    <t>Can't</t>
  </si>
  <si>
    <t>Constant only</t>
  </si>
  <si>
    <t>4) D*P, V*P</t>
  </si>
  <si>
    <t>5) D*V, P</t>
  </si>
  <si>
    <t>6) D*V, V*P</t>
  </si>
  <si>
    <t>D*V</t>
  </si>
  <si>
    <t>Model</t>
  </si>
  <si>
    <t>Dep Var</t>
  </si>
  <si>
    <t>D, V</t>
  </si>
  <si>
    <t>7) D*V, D*P, V*P</t>
  </si>
  <si>
    <t>8) D*V*P</t>
  </si>
  <si>
    <t>Educatation</t>
  </si>
  <si>
    <t>Elementary</t>
  </si>
  <si>
    <t>Middle</t>
  </si>
  <si>
    <t>High Schl</t>
  </si>
  <si>
    <t>missing</t>
  </si>
  <si>
    <t>SES quartile</t>
  </si>
  <si>
    <t>Set A</t>
  </si>
  <si>
    <t>Set B</t>
  </si>
  <si>
    <t>husb ed</t>
  </si>
  <si>
    <t>95% CI</t>
  </si>
  <si>
    <t>OR low</t>
  </si>
  <si>
    <t>OR high</t>
  </si>
  <si>
    <t>EXACT</t>
  </si>
  <si>
    <t>1) FAMILIAR EXAMPLE</t>
  </si>
  <si>
    <t>2) SMALL NUMBERS</t>
  </si>
  <si>
    <t>GOF test for Independence</t>
  </si>
  <si>
    <t>Pearson Chisquare</t>
  </si>
  <si>
    <t>value</t>
  </si>
  <si>
    <t>3) One big number</t>
  </si>
  <si>
    <t>.</t>
  </si>
  <si>
    <t>4) One medium number</t>
  </si>
  <si>
    <t>5) A Familiar Example of All big numbers (HW 1, race and White collar occupations)</t>
  </si>
  <si>
    <t>Fisher's Exact Test for independence</t>
  </si>
  <si>
    <t>Black</t>
  </si>
  <si>
    <t>Mexican</t>
  </si>
  <si>
    <t>Oth H</t>
  </si>
  <si>
    <t>Oth NH</t>
  </si>
  <si>
    <t>White</t>
  </si>
  <si>
    <t>Husb</t>
  </si>
  <si>
    <t>Wife</t>
  </si>
  <si>
    <t>Both US born</t>
  </si>
  <si>
    <t>Wife Immigrant</t>
  </si>
  <si>
    <t>Husb Immigrant</t>
  </si>
  <si>
    <t>Wife Immigrant Minus Both US born</t>
  </si>
  <si>
    <t>sum:</t>
  </si>
  <si>
    <t>average:</t>
  </si>
  <si>
    <t>avg of wive's log count</t>
  </si>
  <si>
    <t>husb</t>
  </si>
  <si>
    <t>avg</t>
  </si>
  <si>
    <t>wife's avg</t>
  </si>
  <si>
    <t xml:space="preserve">husb </t>
  </si>
  <si>
    <t>The difference between both US born, and Wife Immigrant.</t>
  </si>
  <si>
    <t>Now let's look at the models, and their log likelihoods:</t>
  </si>
  <si>
    <t>Constant only model</t>
  </si>
  <si>
    <t>log</t>
  </si>
  <si>
    <t>likelihood</t>
  </si>
  <si>
    <t xml:space="preserve"> minus 2 LL</t>
  </si>
  <si>
    <t>Independence Model</t>
  </si>
  <si>
    <t xml:space="preserve">number of </t>
  </si>
  <si>
    <t>LR Chi2</t>
  </si>
  <si>
    <t>compared to constant model</t>
  </si>
  <si>
    <t>difference of</t>
  </si>
  <si>
    <t>df constant model</t>
  </si>
  <si>
    <t>Model 8, saving 1 df by combining ed endogamy categories</t>
  </si>
  <si>
    <t>Model Description</t>
  </si>
  <si>
    <t>GOF LRT</t>
  </si>
  <si>
    <t>meth med feth fed year</t>
  </si>
  <si>
    <t>N</t>
  </si>
  <si>
    <t>one way</t>
  </si>
  <si>
    <t>two way</t>
  </si>
  <si>
    <t>three way</t>
  </si>
  <si>
    <t>four way</t>
  </si>
  <si>
    <t>five way</t>
  </si>
  <si>
    <t>How many different possible saturated combinations at each level are there given five variables?</t>
  </si>
  <si>
    <t>death_penalty</t>
  </si>
  <si>
    <t>minus2LL</t>
  </si>
  <si>
    <t>3.5) V*P</t>
  </si>
  <si>
    <t>V</t>
  </si>
  <si>
    <t>Categorical</t>
  </si>
  <si>
    <t>Other Hisp</t>
  </si>
  <si>
    <t>Other Non Hisp</t>
  </si>
  <si>
    <t>base</t>
  </si>
  <si>
    <t xml:space="preserve">change to </t>
  </si>
  <si>
    <t>change to</t>
  </si>
  <si>
    <t>predicted values for</t>
  </si>
  <si>
    <t>base value</t>
  </si>
  <si>
    <t>year=0</t>
  </si>
  <si>
    <t>change per</t>
  </si>
  <si>
    <t>year</t>
  </si>
  <si>
    <t>The odds ratio is "margin-free"</t>
  </si>
  <si>
    <t>Now Double the number of Blue frogs</t>
  </si>
  <si>
    <t>Index of Dissimilarity</t>
  </si>
  <si>
    <t>ID</t>
  </si>
  <si>
    <t>BIC example from class</t>
  </si>
  <si>
    <t>M1</t>
  </si>
  <si>
    <t>L2</t>
  </si>
  <si>
    <t>ln(N)=</t>
  </si>
  <si>
    <t>M2</t>
  </si>
  <si>
    <t>Starting with model 4, and adding groups of terms…</t>
  </si>
  <si>
    <t>M5 plus meth*feth</t>
  </si>
  <si>
    <t>meth*med feth*fed year r_intermar_full</t>
  </si>
  <si>
    <t>meth*med*fed feth*med*fed year r_intermar_full</t>
  </si>
  <si>
    <t>meth*med*fed feth*med*fed year*meth year*feth year*med year*fed r_intermar_full</t>
  </si>
  <si>
    <t>meth*med*year feth*fed*year med*fed*year r_intermar_full*year</t>
  </si>
  <si>
    <t>M6 plus r_intermar_full*med4</t>
  </si>
  <si>
    <t>M7 plus r_intermar_full*fed4</t>
  </si>
  <si>
    <t>M8 plus med4*fed4*mfulleth</t>
  </si>
  <si>
    <t>M3</t>
  </si>
  <si>
    <t>M4</t>
  </si>
  <si>
    <t>M5</t>
  </si>
  <si>
    <t>M6</t>
  </si>
  <si>
    <t>M7</t>
  </si>
  <si>
    <t>M8</t>
  </si>
  <si>
    <t>M9</t>
  </si>
  <si>
    <t>M10</t>
  </si>
  <si>
    <t>meth*med*fed*year feth*med*fed*year r_intermar_full*year r_intermar_full*med r_intermar_full*fed</t>
  </si>
  <si>
    <t>Husb Ed</t>
  </si>
  <si>
    <t>Model 1, Independence</t>
  </si>
  <si>
    <t>Local Table Log Odds Ratios</t>
  </si>
  <si>
    <t>Model 2, Simple Linear by Linear association</t>
  </si>
  <si>
    <t>Score coefficient=</t>
  </si>
  <si>
    <t>exp of score coeff=</t>
  </si>
  <si>
    <t>Model 3, Simple Linear by Linear association</t>
  </si>
  <si>
    <t>Model 3, More complicated Linear by Linear association</t>
  </si>
  <si>
    <t>Model 2, scores</t>
  </si>
  <si>
    <t>Model 2, Scores with coefficient</t>
  </si>
  <si>
    <t>Model 3, Scores with different space categories</t>
  </si>
  <si>
    <t>Model 3</t>
  </si>
  <si>
    <t>RC</t>
  </si>
  <si>
    <t>Linear by Linear association model</t>
  </si>
  <si>
    <t>See LEM Output</t>
  </si>
  <si>
    <t>predicted</t>
  </si>
  <si>
    <t>Pearson</t>
  </si>
  <si>
    <t>LRT</t>
  </si>
  <si>
    <t>U</t>
  </si>
  <si>
    <t>color_num</t>
  </si>
  <si>
    <t>live_num</t>
  </si>
  <si>
    <t>lambda:</t>
  </si>
  <si>
    <t>k</t>
  </si>
  <si>
    <t>lambda/k</t>
  </si>
  <si>
    <t>k(3)/k(2)</t>
  </si>
  <si>
    <t>individual likelihood Fns</t>
  </si>
  <si>
    <t>product of</t>
  </si>
  <si>
    <t>K1=</t>
  </si>
  <si>
    <t>K2=</t>
  </si>
  <si>
    <t>K3=</t>
  </si>
  <si>
    <t>K4=</t>
  </si>
  <si>
    <t>K6=</t>
  </si>
  <si>
    <t>the likelihoods</t>
  </si>
  <si>
    <t>lambdas</t>
  </si>
  <si>
    <t>fathers_occ</t>
  </si>
  <si>
    <t>China occupational data, 7x7 version</t>
  </si>
  <si>
    <t>childs_occ</t>
  </si>
  <si>
    <t>Models:</t>
  </si>
  <si>
    <t>Independence</t>
  </si>
  <si>
    <t>GOF chisquare (L2)</t>
  </si>
  <si>
    <t>p</t>
  </si>
  <si>
    <t>BIC compared to saturated model</t>
  </si>
  <si>
    <t>ln(n)=</t>
  </si>
  <si>
    <t>indep+ crossings</t>
  </si>
  <si>
    <t>Notes:</t>
  </si>
  <si>
    <t>indep+ uniform assoc</t>
  </si>
  <si>
    <t>indep+ main diagonal</t>
  </si>
  <si>
    <t>Not in the Treiman table</t>
  </si>
  <si>
    <t>Indep+each level main diagonal (Quasi Independence)</t>
  </si>
  <si>
    <t>Quasi-Symmetry (also known as indep+each level main diagonal+QS)</t>
  </si>
  <si>
    <t>RC model, see separate LEM output</t>
  </si>
  <si>
    <t>Model Log likelihood</t>
  </si>
  <si>
    <t>Saturated model</t>
  </si>
  <si>
    <t>constant Only</t>
  </si>
  <si>
    <t>Indep+ dichotomous endogamy</t>
  </si>
  <si>
    <t>actual</t>
  </si>
  <si>
    <t>LR chisquare</t>
  </si>
  <si>
    <t xml:space="preserve">Pearson </t>
  </si>
  <si>
    <t>uniform</t>
  </si>
  <si>
    <t>have to multiply the LEM ID by 100</t>
  </si>
  <si>
    <t>Note: the LEM ID has to be multiplied by 100</t>
  </si>
  <si>
    <t>Adjusted RC row (husband's) values</t>
  </si>
  <si>
    <t>Mexican Amer</t>
  </si>
  <si>
    <t>Other Hispanic</t>
  </si>
  <si>
    <t>non Hispanic other</t>
  </si>
  <si>
    <t>White, non Hispanic</t>
  </si>
  <si>
    <t>Black, non-Hispanic</t>
  </si>
  <si>
    <t>crossings model</t>
  </si>
  <si>
    <t>Quasi Symmetry</t>
  </si>
  <si>
    <t>Indep+ categorical endog (also known as Quasi-Independence)</t>
  </si>
  <si>
    <t>Quasi-Indep+ Black-OH (gender symmetric)</t>
  </si>
  <si>
    <t>Quasi-Indep+ 2 terms for Black-OH</t>
  </si>
  <si>
    <t>model 4 compared to M3</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</si>
</sst>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3" formatCode="_(* #,##0.00_);_(* \(#,##0.00\);_(* &quot;-&quot;??_);_(@_)"/>
    <numFmt numFmtId="164" formatCode="0.0"/>
    <numFmt numFmtId="165" formatCode="0.000"/>
    <numFmt numFmtId="166" formatCode="#,##0.0"/>
    <numFmt numFmtId="167" formatCode="_(* #,##0.0_);_(* \(#,##0.0\);_(* &quot;-&quot;??_);_(@_)"/>
    <numFmt numFmtId="168" formatCode="_(* #,##0_);_(* \(#,##0\);_(* &quot;-&quot;??_);_(@_)"/>
  </numFmts>
  <fonts count="8">
    <font>
      <sz val="9"/>
      <name val="Geneva"/>
    </font>
    <font>
      <b/>
      <sz val="9"/>
      <name val="Geneva"/>
    </font>
    <font>
      <i/>
      <sz val="9"/>
      <name val="Geneva"/>
    </font>
    <font>
      <sz val="9"/>
      <name val="Geneva"/>
    </font>
    <font>
      <sz val="8"/>
      <name val="Geneva"/>
    </font>
    <font>
      <u/>
      <sz val="9"/>
      <name val="Geneva"/>
    </font>
    <font>
      <sz val="9"/>
      <color indexed="10"/>
      <name val="Geneva"/>
    </font>
    <font>
      <sz val="10"/>
      <name val="Arial"/>
    </font>
  </fonts>
  <fills count="7">
    <fill>
      <patternFill patternType="none"/>
    </fill>
    <fill>
      <patternFill patternType="gray125"/>
    </fill>
    <fill>
      <patternFill patternType="solid">
        <fgColor indexed="10"/>
        <bgColor indexed="64"/>
      </patternFill>
    </fill>
    <fill>
      <patternFill patternType="solid">
        <fgColor indexed="49"/>
        <bgColor indexed="64"/>
      </patternFill>
    </fill>
    <fill>
      <patternFill patternType="solid">
        <fgColor indexed="41"/>
        <bgColor indexed="64"/>
      </patternFill>
    </fill>
    <fill>
      <patternFill patternType="solid">
        <fgColor indexed="53"/>
        <bgColor indexed="64"/>
      </patternFill>
    </fill>
    <fill>
      <patternFill patternType="solid">
        <fgColor indexed="13"/>
        <bgColor indexed="64"/>
      </patternFill>
    </fill>
  </fills>
  <borders count="9">
    <border>
      <left/>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3">
    <xf numFmtId="0" fontId="0" fillId="0" borderId="0"/>
    <xf numFmtId="0" fontId="7" fillId="0" borderId="0"/>
    <xf numFmtId="43" fontId="3" fillId="0" borderId="0" applyFont="0" applyFill="0" applyBorder="0" applyAlignment="0" applyProtection="0"/>
  </cellStyleXfs>
  <cellXfs count="62">
    <xf numFmtId="0" fontId="0" fillId="0" borderId="0" xfId="0"/>
    <xf numFmtId="2" fontId="0" fillId="0" borderId="0" xfId="0" applyNumberFormat="1"/>
    <xf numFmtId="0" fontId="0" fillId="2" borderId="0" xfId="0" applyFill="1"/>
    <xf numFmtId="164" fontId="0" fillId="0" borderId="0" xfId="0" applyNumberFormat="1"/>
    <xf numFmtId="0" fontId="0" fillId="3" borderId="0" xfId="0" applyFill="1"/>
    <xf numFmtId="165" fontId="0" fillId="0" borderId="0" xfId="0" applyNumberFormat="1"/>
    <xf numFmtId="0" fontId="0" fillId="4" borderId="0" xfId="0" applyFill="1"/>
    <xf numFmtId="166" fontId="0" fillId="0" borderId="0" xfId="0" applyNumberFormat="1"/>
    <xf numFmtId="3" fontId="0" fillId="0" borderId="0" xfId="0" applyNumberFormat="1"/>
    <xf numFmtId="0" fontId="0" fillId="0" borderId="0" xfId="0" applyAlignment="1">
      <alignment horizontal="right"/>
    </xf>
    <xf numFmtId="0" fontId="0" fillId="0" borderId="0" xfId="0" applyAlignment="1">
      <alignment horizontal="left"/>
    </xf>
    <xf numFmtId="0" fontId="0" fillId="0" borderId="0" xfId="0" applyAlignment="1"/>
    <xf numFmtId="0" fontId="1" fillId="0" borderId="0" xfId="0" applyFont="1" applyAlignment="1"/>
    <xf numFmtId="0" fontId="1" fillId="0" borderId="0" xfId="0" applyFont="1"/>
    <xf numFmtId="164" fontId="1" fillId="0" borderId="0" xfId="0" applyNumberFormat="1" applyFont="1"/>
    <xf numFmtId="0" fontId="5" fillId="0" borderId="0" xfId="0" applyFont="1"/>
    <xf numFmtId="0" fontId="5" fillId="0" borderId="0" xfId="0" applyFont="1" applyAlignment="1">
      <alignment horizontal="right"/>
    </xf>
    <xf numFmtId="0" fontId="5" fillId="0" borderId="0" xfId="0" applyFont="1" applyAlignment="1">
      <alignment horizontal="left"/>
    </xf>
    <xf numFmtId="0" fontId="1" fillId="0" borderId="0" xfId="0" applyFont="1" applyAlignment="1">
      <alignment horizontal="right"/>
    </xf>
    <xf numFmtId="0" fontId="0" fillId="5" borderId="0" xfId="0" applyFill="1"/>
    <xf numFmtId="0" fontId="2" fillId="0" borderId="0" xfId="0" applyFont="1"/>
    <xf numFmtId="0" fontId="0" fillId="0" borderId="0" xfId="0" applyBorder="1"/>
    <xf numFmtId="0" fontId="0" fillId="0" borderId="1" xfId="0" applyBorder="1"/>
    <xf numFmtId="0" fontId="0" fillId="0" borderId="2" xfId="0" applyBorder="1"/>
    <xf numFmtId="0" fontId="0" fillId="0" borderId="3" xfId="0" applyBorder="1"/>
    <xf numFmtId="0" fontId="0" fillId="0" borderId="4" xfId="0" applyBorder="1"/>
    <xf numFmtId="0" fontId="0" fillId="0" borderId="5" xfId="0" applyBorder="1"/>
    <xf numFmtId="0" fontId="0" fillId="0" borderId="6" xfId="0" applyBorder="1"/>
    <xf numFmtId="0" fontId="0" fillId="0" borderId="7" xfId="0" applyBorder="1"/>
    <xf numFmtId="0" fontId="0" fillId="0" borderId="8" xfId="0" applyBorder="1"/>
    <xf numFmtId="0" fontId="0" fillId="0" borderId="0" xfId="0" applyFill="1" applyBorder="1"/>
    <xf numFmtId="0" fontId="0" fillId="0" borderId="0" xfId="0" applyAlignment="1">
      <alignment horizontal="center"/>
    </xf>
    <xf numFmtId="0" fontId="0" fillId="6" borderId="0" xfId="0" applyFill="1"/>
    <xf numFmtId="0" fontId="0" fillId="6" borderId="0" xfId="0" applyFill="1" applyAlignment="1">
      <alignment horizontal="center"/>
    </xf>
    <xf numFmtId="0" fontId="3" fillId="0" borderId="0" xfId="0" applyFont="1"/>
    <xf numFmtId="3" fontId="3" fillId="0" borderId="0" xfId="0" applyNumberFormat="1" applyFont="1"/>
    <xf numFmtId="0" fontId="6" fillId="0" borderId="0" xfId="0" applyFont="1"/>
    <xf numFmtId="166" fontId="6" fillId="0" borderId="0" xfId="0" applyNumberFormat="1" applyFont="1"/>
    <xf numFmtId="2" fontId="6" fillId="0" borderId="0" xfId="0" applyNumberFormat="1" applyFont="1"/>
    <xf numFmtId="0" fontId="3" fillId="2" borderId="0" xfId="0" applyFont="1" applyFill="1"/>
    <xf numFmtId="0" fontId="3" fillId="0" borderId="0" xfId="0" applyFont="1" applyFill="1"/>
    <xf numFmtId="0" fontId="0" fillId="0" borderId="0" xfId="0" applyFill="1"/>
    <xf numFmtId="0" fontId="0" fillId="0" borderId="0" xfId="0" applyFill="1" applyAlignment="1">
      <alignment horizontal="center"/>
    </xf>
    <xf numFmtId="0" fontId="0" fillId="0" borderId="0" xfId="0" applyFill="1" applyAlignment="1"/>
    <xf numFmtId="0" fontId="7" fillId="0" borderId="0" xfId="1"/>
    <xf numFmtId="0" fontId="7" fillId="0" borderId="0" xfId="1" applyAlignment="1">
      <alignment horizontal="right"/>
    </xf>
    <xf numFmtId="0" fontId="0" fillId="0" borderId="0" xfId="0"/>
    <xf numFmtId="0" fontId="0" fillId="0" borderId="0" xfId="0"/>
    <xf numFmtId="0" fontId="0" fillId="0" borderId="0" xfId="0" applyAlignment="1">
      <alignment horizontal="right" wrapText="1"/>
    </xf>
    <xf numFmtId="0" fontId="0" fillId="0" borderId="0" xfId="0" applyAlignment="1">
      <alignment wrapText="1"/>
    </xf>
    <xf numFmtId="164" fontId="0" fillId="0" borderId="0" xfId="0" applyNumberFormat="1" applyAlignment="1">
      <alignment wrapText="1"/>
    </xf>
    <xf numFmtId="0" fontId="0" fillId="0" borderId="0" xfId="0"/>
    <xf numFmtId="167" fontId="0" fillId="0" borderId="0" xfId="2" applyNumberFormat="1" applyFont="1"/>
    <xf numFmtId="168" fontId="0" fillId="0" borderId="0" xfId="2" applyNumberFormat="1" applyFont="1"/>
    <xf numFmtId="167" fontId="0" fillId="0" borderId="0" xfId="2" applyNumberFormat="1" applyFont="1" applyAlignment="1">
      <alignment wrapText="1"/>
    </xf>
    <xf numFmtId="0" fontId="0" fillId="0" borderId="0" xfId="0"/>
    <xf numFmtId="0" fontId="0" fillId="0" borderId="0" xfId="0"/>
    <xf numFmtId="43" fontId="0" fillId="0" borderId="0" xfId="2" applyFont="1"/>
    <xf numFmtId="2" fontId="0" fillId="0" borderId="0" xfId="2" applyNumberFormat="1" applyFont="1" applyAlignment="1">
      <alignment horizontal="right" wrapText="1"/>
    </xf>
    <xf numFmtId="0" fontId="0" fillId="0" borderId="0" xfId="0"/>
    <xf numFmtId="0" fontId="0" fillId="0" borderId="0" xfId="0" applyAlignment="1">
      <alignment horizontal="left" wrapText="1"/>
    </xf>
    <xf numFmtId="43" fontId="0" fillId="0" borderId="0" xfId="0" applyNumberFormat="1"/>
  </cellXfs>
  <cellStyles count="3">
    <cellStyle name="Comma" xfId="2" builtinId="3"/>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charts/_rels/chart4.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5.xml.rels><?xml version="1.0" encoding="UTF-8" standalone="yes"?>
<Relationships xmlns="http://schemas.openxmlformats.org/package/2006/relationships"><Relationship Id="rId1" Type="http://schemas.openxmlformats.org/officeDocument/2006/relationships/chartUserShapes" Target="../drawings/drawing6.xml"/></Relationships>
</file>

<file path=xl/charts/_rels/chart6.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800" b="1" i="0" u="none" strike="noStrike" baseline="0">
                <a:solidFill>
                  <a:srgbClr val="000000"/>
                </a:solidFill>
                <a:latin typeface="Arial"/>
                <a:ea typeface="Arial"/>
                <a:cs typeface="Arial"/>
              </a:defRPr>
            </a:pPr>
            <a:r>
              <a:rPr lang="en-US"/>
              <a:t>Probability and Odds</a:t>
            </a:r>
          </a:p>
        </c:rich>
      </c:tx>
      <c:layout>
        <c:manualLayout>
          <c:xMode val="edge"/>
          <c:yMode val="edge"/>
          <c:x val="0.35427135678391958"/>
          <c:y val="4.1322314049586778E-2"/>
        </c:manualLayout>
      </c:layout>
      <c:overlay val="0"/>
      <c:spPr>
        <a:noFill/>
        <a:ln w="25400">
          <a:noFill/>
        </a:ln>
      </c:spPr>
    </c:title>
    <c:autoTitleDeleted val="0"/>
    <c:plotArea>
      <c:layout>
        <c:manualLayout>
          <c:layoutTarget val="inner"/>
          <c:xMode val="edge"/>
          <c:yMode val="edge"/>
          <c:x val="0.10804020100502512"/>
          <c:y val="0.22727272727272727"/>
          <c:w val="0.64321608040201006"/>
          <c:h val="0.51239669421487599"/>
        </c:manualLayout>
      </c:layout>
      <c:scatterChart>
        <c:scatterStyle val="lineMarker"/>
        <c:varyColors val="0"/>
        <c:ser>
          <c:idx val="0"/>
          <c:order val="0"/>
          <c:tx>
            <c:strRef>
              <c:f>'frogs LOR'!$C$2</c:f>
              <c:strCache>
                <c:ptCount val="1"/>
                <c:pt idx="0">
                  <c:v>P/(1-P)</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xVal>
            <c:numRef>
              <c:f>'frogs LOR'!$B$3:$B$12</c:f>
              <c:numCache>
                <c:formatCode>General</c:formatCode>
                <c:ptCount val="10"/>
                <c:pt idx="0">
                  <c:v>0.1</c:v>
                </c:pt>
                <c:pt idx="1">
                  <c:v>0.2</c:v>
                </c:pt>
                <c:pt idx="2">
                  <c:v>0.3</c:v>
                </c:pt>
                <c:pt idx="3">
                  <c:v>0.4</c:v>
                </c:pt>
                <c:pt idx="4">
                  <c:v>0.5</c:v>
                </c:pt>
                <c:pt idx="5">
                  <c:v>0.6</c:v>
                </c:pt>
                <c:pt idx="6">
                  <c:v>0.7</c:v>
                </c:pt>
                <c:pt idx="7">
                  <c:v>0.8</c:v>
                </c:pt>
                <c:pt idx="8">
                  <c:v>0.9</c:v>
                </c:pt>
                <c:pt idx="9">
                  <c:v>0.99</c:v>
                </c:pt>
              </c:numCache>
            </c:numRef>
          </c:xVal>
          <c:yVal>
            <c:numRef>
              <c:f>'frogs LOR'!$C$3:$C$12</c:f>
              <c:numCache>
                <c:formatCode>General</c:formatCode>
                <c:ptCount val="10"/>
                <c:pt idx="0">
                  <c:v>0.11111111111111112</c:v>
                </c:pt>
                <c:pt idx="1">
                  <c:v>0.25</c:v>
                </c:pt>
                <c:pt idx="2">
                  <c:v>0.4285714285714286</c:v>
                </c:pt>
                <c:pt idx="3">
                  <c:v>0.66666666666666674</c:v>
                </c:pt>
                <c:pt idx="4">
                  <c:v>1</c:v>
                </c:pt>
                <c:pt idx="5">
                  <c:v>1.4999999999999998</c:v>
                </c:pt>
                <c:pt idx="6">
                  <c:v>2.333333333333333</c:v>
                </c:pt>
                <c:pt idx="7">
                  <c:v>4.0000000000000009</c:v>
                </c:pt>
                <c:pt idx="8">
                  <c:v>9.0000000000000018</c:v>
                </c:pt>
                <c:pt idx="9">
                  <c:v>98.999999999999915</c:v>
                </c:pt>
              </c:numCache>
            </c:numRef>
          </c:yVal>
          <c:smooth val="0"/>
        </c:ser>
        <c:dLbls>
          <c:showLegendKey val="0"/>
          <c:showVal val="0"/>
          <c:showCatName val="0"/>
          <c:showSerName val="0"/>
          <c:showPercent val="0"/>
          <c:showBubbleSize val="0"/>
        </c:dLbls>
        <c:axId val="343259152"/>
        <c:axId val="343256408"/>
      </c:scatterChart>
      <c:valAx>
        <c:axId val="343259152"/>
        <c:scaling>
          <c:orientation val="minMax"/>
          <c:max val="1"/>
        </c:scaling>
        <c:delete val="0"/>
        <c:axPos val="b"/>
        <c:title>
          <c:tx>
            <c:rich>
              <a:bodyPr/>
              <a:lstStyle/>
              <a:p>
                <a:pPr>
                  <a:defRPr sz="800" b="1" i="0" u="none" strike="noStrike" baseline="0">
                    <a:solidFill>
                      <a:srgbClr val="000000"/>
                    </a:solidFill>
                    <a:latin typeface="Arial"/>
                    <a:ea typeface="Arial"/>
                    <a:cs typeface="Arial"/>
                  </a:defRPr>
                </a:pPr>
                <a:r>
                  <a:rPr lang="en-US"/>
                  <a:t>P</a:t>
                </a:r>
              </a:p>
            </c:rich>
          </c:tx>
          <c:layout>
            <c:manualLayout>
              <c:xMode val="edge"/>
              <c:yMode val="edge"/>
              <c:x val="0.41708542713567837"/>
              <c:y val="0.85123966942148765"/>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343256408"/>
        <c:crosses val="autoZero"/>
        <c:crossBetween val="midCat"/>
      </c:valAx>
      <c:valAx>
        <c:axId val="343256408"/>
        <c:scaling>
          <c:orientation val="minMax"/>
        </c:scaling>
        <c:delete val="0"/>
        <c:axPos val="l"/>
        <c:majorGridlines>
          <c:spPr>
            <a:ln w="3175">
              <a:solidFill>
                <a:srgbClr val="000000"/>
              </a:solidFill>
              <a:prstDash val="solid"/>
            </a:ln>
          </c:spPr>
        </c:majorGridlines>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343259152"/>
        <c:crosses val="autoZero"/>
        <c:crossBetween val="midCat"/>
      </c:valAx>
      <c:spPr>
        <a:noFill/>
        <a:ln w="12700">
          <a:solidFill>
            <a:srgbClr val="808080"/>
          </a:solidFill>
          <a:prstDash val="solid"/>
        </a:ln>
      </c:spPr>
    </c:plotArea>
    <c:legend>
      <c:legendPos val="r"/>
      <c:layout>
        <c:manualLayout>
          <c:xMode val="edge"/>
          <c:yMode val="edge"/>
          <c:x val="0.80150753768844218"/>
          <c:y val="0.44214876033057854"/>
          <c:w val="0.17839195979899497"/>
          <c:h val="8.2644628099173556E-2"/>
        </c:manualLayout>
      </c:layout>
      <c:overlay val="0"/>
      <c:spPr>
        <a:solidFill>
          <a:srgbClr val="FFFFFF"/>
        </a:solidFill>
        <a:ln w="3175">
          <a:solidFill>
            <a:srgbClr val="000000"/>
          </a:solidFill>
          <a:prstDash val="solid"/>
        </a:ln>
      </c:spPr>
      <c:txPr>
        <a:bodyPr/>
        <a:lstStyle/>
        <a:p>
          <a:pPr>
            <a:defRPr sz="735" b="0"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25" b="1" i="0" u="none" strike="noStrike" baseline="0">
                <a:solidFill>
                  <a:srgbClr val="000000"/>
                </a:solidFill>
                <a:latin typeface="Arial"/>
                <a:ea typeface="Arial"/>
                <a:cs typeface="Arial"/>
              </a:defRPr>
            </a:pPr>
            <a:r>
              <a:rPr lang="en-US"/>
              <a:t>Probabilities of number of events for different expected values of the poisson distribution</a:t>
            </a:r>
          </a:p>
        </c:rich>
      </c:tx>
      <c:layout>
        <c:manualLayout>
          <c:xMode val="edge"/>
          <c:yMode val="edge"/>
          <c:x val="0.11798586018827323"/>
          <c:y val="3.6363717071460119E-2"/>
        </c:manualLayout>
      </c:layout>
      <c:overlay val="0"/>
      <c:spPr>
        <a:noFill/>
        <a:ln w="25400">
          <a:noFill/>
        </a:ln>
      </c:spPr>
    </c:title>
    <c:autoTitleDeleted val="0"/>
    <c:plotArea>
      <c:layout>
        <c:manualLayout>
          <c:layoutTarget val="inner"/>
          <c:xMode val="edge"/>
          <c:yMode val="edge"/>
          <c:x val="0.11366930432772664"/>
          <c:y val="0.30649418674516393"/>
          <c:w val="0.73956990410698087"/>
          <c:h val="0.47272832192898151"/>
        </c:manualLayout>
      </c:layout>
      <c:lineChart>
        <c:grouping val="standard"/>
        <c:varyColors val="0"/>
        <c:ser>
          <c:idx val="2"/>
          <c:order val="0"/>
          <c:tx>
            <c:strRef>
              <c:f>'poisson distribution'!$B$4</c:f>
              <c:strCache>
                <c:ptCount val="1"/>
                <c:pt idx="0">
                  <c:v>0.1</c:v>
                </c:pt>
              </c:strCache>
            </c:strRef>
          </c:tx>
          <c:spPr>
            <a:ln w="12700">
              <a:solidFill>
                <a:srgbClr val="FFFF00"/>
              </a:solidFill>
              <a:prstDash val="solid"/>
            </a:ln>
          </c:spPr>
          <c:marker>
            <c:symbol val="triangle"/>
            <c:size val="5"/>
            <c:spPr>
              <a:solidFill>
                <a:srgbClr val="FFFF00"/>
              </a:solidFill>
              <a:ln>
                <a:solidFill>
                  <a:srgbClr val="FFFF00"/>
                </a:solidFill>
                <a:prstDash val="solid"/>
              </a:ln>
            </c:spPr>
          </c:marker>
          <c:cat>
            <c:numRef>
              <c:f>'poisson distribution'!$A$5:$A$40</c:f>
              <c:numCache>
                <c:formatCode>General</c:formatCode>
                <c:ptCount val="36"/>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numCache>
            </c:numRef>
          </c:cat>
          <c:val>
            <c:numRef>
              <c:f>'poisson distribution'!$B$5:$B$40</c:f>
              <c:numCache>
                <c:formatCode>General</c:formatCode>
                <c:ptCount val="36"/>
                <c:pt idx="0">
                  <c:v>0.90483741803595952</c:v>
                </c:pt>
                <c:pt idx="1">
                  <c:v>9.048374180359596E-2</c:v>
                </c:pt>
                <c:pt idx="2">
                  <c:v>4.5241870901797984E-3</c:v>
                </c:pt>
                <c:pt idx="3">
                  <c:v>1.5080623633932663E-4</c:v>
                </c:pt>
                <c:pt idx="4">
                  <c:v>3.7701559084831663E-6</c:v>
                </c:pt>
                <c:pt idx="5">
                  <c:v>7.5403118169663328E-8</c:v>
                </c:pt>
                <c:pt idx="6">
                  <c:v>1.2567186361610555E-9</c:v>
                </c:pt>
                <c:pt idx="7">
                  <c:v>1.7953123373729367E-11</c:v>
                </c:pt>
                <c:pt idx="8">
                  <c:v>2.2441404217161715E-13</c:v>
                </c:pt>
                <c:pt idx="9">
                  <c:v>2.4934893574624127E-15</c:v>
                </c:pt>
                <c:pt idx="10">
                  <c:v>2.4934893574624131E-17</c:v>
                </c:pt>
                <c:pt idx="11">
                  <c:v>2.2668085067840122E-19</c:v>
                </c:pt>
                <c:pt idx="12">
                  <c:v>1.8890070889866775E-21</c:v>
                </c:pt>
                <c:pt idx="13">
                  <c:v>1.4530823761435979E-23</c:v>
                </c:pt>
                <c:pt idx="14">
                  <c:v>1.0379159829597128E-25</c:v>
                </c:pt>
                <c:pt idx="15">
                  <c:v>6.919439886398087E-28</c:v>
                </c:pt>
                <c:pt idx="16">
                  <c:v>4.3246499289988045E-30</c:v>
                </c:pt>
                <c:pt idx="17">
                  <c:v>2.5439117229404733E-32</c:v>
                </c:pt>
                <c:pt idx="18">
                  <c:v>1.4132842905224854E-34</c:v>
                </c:pt>
                <c:pt idx="19">
                  <c:v>7.4383383711709765E-37</c:v>
                </c:pt>
                <c:pt idx="20">
                  <c:v>3.7191691855854888E-39</c:v>
                </c:pt>
                <c:pt idx="21">
                  <c:v>1.7710329455169001E-41</c:v>
                </c:pt>
                <c:pt idx="22">
                  <c:v>8.050149752349545E-44</c:v>
                </c:pt>
                <c:pt idx="23">
                  <c:v>3.5000651097171934E-46</c:v>
                </c:pt>
                <c:pt idx="24">
                  <c:v>1.4583604623821642E-48</c:v>
                </c:pt>
                <c:pt idx="25">
                  <c:v>5.8334418495286571E-51</c:v>
                </c:pt>
                <c:pt idx="26">
                  <c:v>2.2436314805879451E-53</c:v>
                </c:pt>
                <c:pt idx="27">
                  <c:v>8.3097462243997964E-56</c:v>
                </c:pt>
                <c:pt idx="28">
                  <c:v>2.9677665087142148E-58</c:v>
                </c:pt>
                <c:pt idx="29">
                  <c:v>1.0233677616255914E-60</c:v>
                </c:pt>
                <c:pt idx="30">
                  <c:v>3.4112258720853032E-63</c:v>
                </c:pt>
                <c:pt idx="31">
                  <c:v>1.1003954426081628E-65</c:v>
                </c:pt>
                <c:pt idx="32">
                  <c:v>3.4387357581505095E-68</c:v>
                </c:pt>
                <c:pt idx="33">
                  <c:v>1.0420411388334872E-70</c:v>
                </c:pt>
                <c:pt idx="34">
                  <c:v>3.0648268789220246E-73</c:v>
                </c:pt>
                <c:pt idx="35">
                  <c:v>8.756648225491495E-76</c:v>
                </c:pt>
              </c:numCache>
            </c:numRef>
          </c:val>
          <c:smooth val="0"/>
        </c:ser>
        <c:ser>
          <c:idx val="3"/>
          <c:order val="1"/>
          <c:tx>
            <c:strRef>
              <c:f>'poisson distribution'!$C$4</c:f>
              <c:strCache>
                <c:ptCount val="1"/>
                <c:pt idx="0">
                  <c:v>2</c:v>
                </c:pt>
              </c:strCache>
            </c:strRef>
          </c:tx>
          <c:spPr>
            <a:ln w="12700">
              <a:solidFill>
                <a:srgbClr val="00FFFF"/>
              </a:solidFill>
              <a:prstDash val="solid"/>
            </a:ln>
          </c:spPr>
          <c:marker>
            <c:symbol val="x"/>
            <c:size val="5"/>
            <c:spPr>
              <a:noFill/>
              <a:ln>
                <a:solidFill>
                  <a:srgbClr val="00FFFF"/>
                </a:solidFill>
                <a:prstDash val="solid"/>
              </a:ln>
            </c:spPr>
          </c:marker>
          <c:cat>
            <c:numRef>
              <c:f>'poisson distribution'!$A$5:$A$40</c:f>
              <c:numCache>
                <c:formatCode>General</c:formatCode>
                <c:ptCount val="36"/>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numCache>
            </c:numRef>
          </c:cat>
          <c:val>
            <c:numRef>
              <c:f>'poisson distribution'!$C$5:$C$40</c:f>
              <c:numCache>
                <c:formatCode>General</c:formatCode>
                <c:ptCount val="36"/>
                <c:pt idx="0">
                  <c:v>0.1353352832366127</c:v>
                </c:pt>
                <c:pt idx="1">
                  <c:v>0.2706705664732254</c:v>
                </c:pt>
                <c:pt idx="2">
                  <c:v>0.2706705664732254</c:v>
                </c:pt>
                <c:pt idx="3">
                  <c:v>0.18044704431548361</c:v>
                </c:pt>
                <c:pt idx="4">
                  <c:v>9.0223522157741806E-2</c:v>
                </c:pt>
                <c:pt idx="5">
                  <c:v>3.6089408863096722E-2</c:v>
                </c:pt>
                <c:pt idx="6">
                  <c:v>1.2029802954365574E-2</c:v>
                </c:pt>
                <c:pt idx="7">
                  <c:v>3.4370865583901638E-3</c:v>
                </c:pt>
                <c:pt idx="8">
                  <c:v>8.5927163959754094E-4</c:v>
                </c:pt>
                <c:pt idx="9">
                  <c:v>1.9094925324389798E-4</c:v>
                </c:pt>
                <c:pt idx="10">
                  <c:v>3.8189850648779595E-5</c:v>
                </c:pt>
                <c:pt idx="11">
                  <c:v>6.9436092088690179E-6</c:v>
                </c:pt>
                <c:pt idx="12">
                  <c:v>1.1572682014781697E-6</c:v>
                </c:pt>
                <c:pt idx="13">
                  <c:v>1.7804126176587226E-7</c:v>
                </c:pt>
                <c:pt idx="14">
                  <c:v>2.5434465966553178E-8</c:v>
                </c:pt>
                <c:pt idx="15">
                  <c:v>3.3912621288737571E-9</c:v>
                </c:pt>
                <c:pt idx="16">
                  <c:v>4.2390776610921964E-10</c:v>
                </c:pt>
                <c:pt idx="17">
                  <c:v>4.987150189520231E-11</c:v>
                </c:pt>
                <c:pt idx="18">
                  <c:v>5.5412779883558121E-12</c:v>
                </c:pt>
                <c:pt idx="19">
                  <c:v>5.8329241982692758E-13</c:v>
                </c:pt>
                <c:pt idx="20">
                  <c:v>5.8329241982692758E-14</c:v>
                </c:pt>
                <c:pt idx="21">
                  <c:v>5.5551659031135968E-15</c:v>
                </c:pt>
                <c:pt idx="22">
                  <c:v>5.0501508210123601E-16</c:v>
                </c:pt>
                <c:pt idx="23">
                  <c:v>4.3914354965324873E-17</c:v>
                </c:pt>
                <c:pt idx="24">
                  <c:v>3.6595295804437394E-18</c:v>
                </c:pt>
                <c:pt idx="25">
                  <c:v>2.9276236643549919E-19</c:v>
                </c:pt>
                <c:pt idx="26">
                  <c:v>2.2520182033499931E-20</c:v>
                </c:pt>
                <c:pt idx="27">
                  <c:v>1.6681616321111063E-21</c:v>
                </c:pt>
                <c:pt idx="28">
                  <c:v>1.1915440229365047E-22</c:v>
                </c:pt>
                <c:pt idx="29">
                  <c:v>8.2175449857689973E-24</c:v>
                </c:pt>
                <c:pt idx="30">
                  <c:v>5.4783633238459971E-25</c:v>
                </c:pt>
                <c:pt idx="31">
                  <c:v>3.5344279508683854E-26</c:v>
                </c:pt>
                <c:pt idx="32">
                  <c:v>2.2090174692927409E-27</c:v>
                </c:pt>
                <c:pt idx="33">
                  <c:v>1.3387984662380244E-28</c:v>
                </c:pt>
                <c:pt idx="34">
                  <c:v>7.8752850955177951E-30</c:v>
                </c:pt>
                <c:pt idx="35">
                  <c:v>4.5001629117244532E-31</c:v>
                </c:pt>
              </c:numCache>
            </c:numRef>
          </c:val>
          <c:smooth val="0"/>
        </c:ser>
        <c:ser>
          <c:idx val="4"/>
          <c:order val="2"/>
          <c:tx>
            <c:strRef>
              <c:f>'poisson distribution'!$D$4</c:f>
              <c:strCache>
                <c:ptCount val="1"/>
                <c:pt idx="0">
                  <c:v>5</c:v>
                </c:pt>
              </c:strCache>
            </c:strRef>
          </c:tx>
          <c:spPr>
            <a:ln w="12700">
              <a:solidFill>
                <a:srgbClr val="800080"/>
              </a:solidFill>
              <a:prstDash val="solid"/>
            </a:ln>
          </c:spPr>
          <c:marker>
            <c:symbol val="star"/>
            <c:size val="5"/>
            <c:spPr>
              <a:noFill/>
              <a:ln>
                <a:solidFill>
                  <a:srgbClr val="800080"/>
                </a:solidFill>
                <a:prstDash val="solid"/>
              </a:ln>
            </c:spPr>
          </c:marker>
          <c:cat>
            <c:numRef>
              <c:f>'poisson distribution'!$A$5:$A$40</c:f>
              <c:numCache>
                <c:formatCode>General</c:formatCode>
                <c:ptCount val="36"/>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numCache>
            </c:numRef>
          </c:cat>
          <c:val>
            <c:numRef>
              <c:f>'poisson distribution'!$D$5:$D$40</c:f>
              <c:numCache>
                <c:formatCode>General</c:formatCode>
                <c:ptCount val="36"/>
                <c:pt idx="0">
                  <c:v>6.737946999085467E-3</c:v>
                </c:pt>
                <c:pt idx="1">
                  <c:v>3.3689734995427337E-2</c:v>
                </c:pt>
                <c:pt idx="2">
                  <c:v>8.4224337488568335E-2</c:v>
                </c:pt>
                <c:pt idx="3">
                  <c:v>0.14037389581428056</c:v>
                </c:pt>
                <c:pt idx="4">
                  <c:v>0.17546736976785071</c:v>
                </c:pt>
                <c:pt idx="5">
                  <c:v>0.17546736976785071</c:v>
                </c:pt>
                <c:pt idx="6">
                  <c:v>0.14622280813987559</c:v>
                </c:pt>
                <c:pt idx="7">
                  <c:v>0.104444862957054</c:v>
                </c:pt>
                <c:pt idx="8">
                  <c:v>6.5278039348158748E-2</c:v>
                </c:pt>
                <c:pt idx="9">
                  <c:v>3.6265577415643749E-2</c:v>
                </c:pt>
                <c:pt idx="10">
                  <c:v>1.8132788707821871E-2</c:v>
                </c:pt>
                <c:pt idx="11">
                  <c:v>8.2421766853735794E-3</c:v>
                </c:pt>
                <c:pt idx="12">
                  <c:v>3.4342402855723248E-3</c:v>
                </c:pt>
                <c:pt idx="13">
                  <c:v>1.3208616482970478E-3</c:v>
                </c:pt>
                <c:pt idx="14">
                  <c:v>4.7173630296323143E-4</c:v>
                </c:pt>
                <c:pt idx="15">
                  <c:v>1.5724543432107713E-4</c:v>
                </c:pt>
                <c:pt idx="16">
                  <c:v>4.9139198225336602E-5</c:v>
                </c:pt>
                <c:pt idx="17">
                  <c:v>1.4452705360393119E-5</c:v>
                </c:pt>
                <c:pt idx="18">
                  <c:v>4.0146403778869772E-6</c:v>
                </c:pt>
                <c:pt idx="19">
                  <c:v>1.0564843099702573E-6</c:v>
                </c:pt>
                <c:pt idx="20">
                  <c:v>2.6412107749256427E-7</c:v>
                </c:pt>
                <c:pt idx="21">
                  <c:v>6.2885970831562931E-8</c:v>
                </c:pt>
                <c:pt idx="22">
                  <c:v>1.4292266098082485E-8</c:v>
                </c:pt>
                <c:pt idx="23">
                  <c:v>3.1070143691483657E-9</c:v>
                </c:pt>
                <c:pt idx="24">
                  <c:v>6.4729466023924289E-10</c:v>
                </c:pt>
                <c:pt idx="25">
                  <c:v>1.2945893204784861E-10</c:v>
                </c:pt>
                <c:pt idx="26">
                  <c:v>2.4895948470740111E-11</c:v>
                </c:pt>
                <c:pt idx="27">
                  <c:v>4.6103608279148357E-12</c:v>
                </c:pt>
                <c:pt idx="28">
                  <c:v>8.232787192705065E-13</c:v>
                </c:pt>
                <c:pt idx="29">
                  <c:v>1.4194460677077695E-13</c:v>
                </c:pt>
                <c:pt idx="30">
                  <c:v>2.3657434461796156E-14</c:v>
                </c:pt>
                <c:pt idx="31">
                  <c:v>3.815715235773574E-15</c:v>
                </c:pt>
                <c:pt idx="32">
                  <c:v>5.9620550558962087E-16</c:v>
                </c:pt>
                <c:pt idx="33">
                  <c:v>9.0334167513578916E-17</c:v>
                </c:pt>
                <c:pt idx="34">
                  <c:v>1.3284436399055728E-17</c:v>
                </c:pt>
                <c:pt idx="35">
                  <c:v>1.8977766284365324E-18</c:v>
                </c:pt>
              </c:numCache>
            </c:numRef>
          </c:val>
          <c:smooth val="0"/>
        </c:ser>
        <c:ser>
          <c:idx val="0"/>
          <c:order val="3"/>
          <c:tx>
            <c:strRef>
              <c:f>'poisson distribution'!$E$4</c:f>
              <c:strCache>
                <c:ptCount val="1"/>
                <c:pt idx="0">
                  <c:v>15</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cat>
            <c:numRef>
              <c:f>'poisson distribution'!$A$5:$A$40</c:f>
              <c:numCache>
                <c:formatCode>General</c:formatCode>
                <c:ptCount val="36"/>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numCache>
            </c:numRef>
          </c:cat>
          <c:val>
            <c:numRef>
              <c:f>'poisson distribution'!$E$5:$E$40</c:f>
              <c:numCache>
                <c:formatCode>General</c:formatCode>
                <c:ptCount val="36"/>
                <c:pt idx="0">
                  <c:v>3.0590232050182579E-7</c:v>
                </c:pt>
                <c:pt idx="1">
                  <c:v>4.5885348075273864E-6</c:v>
                </c:pt>
                <c:pt idx="2">
                  <c:v>3.4414011056455399E-5</c:v>
                </c:pt>
                <c:pt idx="3">
                  <c:v>1.7207005528227699E-4</c:v>
                </c:pt>
                <c:pt idx="4">
                  <c:v>6.4526270730853874E-4</c:v>
                </c:pt>
                <c:pt idx="5">
                  <c:v>1.9357881219256162E-3</c:v>
                </c:pt>
                <c:pt idx="6">
                  <c:v>4.8394703048140406E-3</c:v>
                </c:pt>
                <c:pt idx="7">
                  <c:v>1.0370293510315801E-2</c:v>
                </c:pt>
                <c:pt idx="8">
                  <c:v>1.9444300331842128E-2</c:v>
                </c:pt>
                <c:pt idx="9">
                  <c:v>3.2407167219736882E-2</c:v>
                </c:pt>
                <c:pt idx="10">
                  <c:v>4.8610750829605316E-2</c:v>
                </c:pt>
                <c:pt idx="11">
                  <c:v>6.6287387494916347E-2</c:v>
                </c:pt>
                <c:pt idx="12">
                  <c:v>8.2859234368645424E-2</c:v>
                </c:pt>
                <c:pt idx="13">
                  <c:v>9.5606808886898584E-2</c:v>
                </c:pt>
                <c:pt idx="14">
                  <c:v>0.10243586666453419</c:v>
                </c:pt>
                <c:pt idx="15">
                  <c:v>0.10243586666453419</c:v>
                </c:pt>
                <c:pt idx="16">
                  <c:v>9.6033624998000805E-2</c:v>
                </c:pt>
                <c:pt idx="17">
                  <c:v>8.4735551468824236E-2</c:v>
                </c:pt>
                <c:pt idx="18">
                  <c:v>7.0612959557353527E-2</c:v>
                </c:pt>
                <c:pt idx="19">
                  <c:v>5.5747073334752796E-2</c:v>
                </c:pt>
                <c:pt idx="20">
                  <c:v>4.1810305001064599E-2</c:v>
                </c:pt>
                <c:pt idx="21">
                  <c:v>2.9864503572188998E-2</c:v>
                </c:pt>
                <c:pt idx="22">
                  <c:v>2.0362161526492496E-2</c:v>
                </c:pt>
                <c:pt idx="23">
                  <c:v>1.3279670560755975E-2</c:v>
                </c:pt>
                <c:pt idx="24">
                  <c:v>8.2997941004724855E-3</c:v>
                </c:pt>
                <c:pt idx="25">
                  <c:v>4.9798764602834913E-3</c:v>
                </c:pt>
                <c:pt idx="26">
                  <c:v>2.873005650163552E-3</c:v>
                </c:pt>
                <c:pt idx="27">
                  <c:v>1.5961142500908623E-3</c:v>
                </c:pt>
                <c:pt idx="28">
                  <c:v>8.5506120540581947E-4</c:v>
                </c:pt>
                <c:pt idx="29">
                  <c:v>4.4227303727887202E-4</c:v>
                </c:pt>
                <c:pt idx="30">
                  <c:v>2.2113651863943593E-4</c:v>
                </c:pt>
                <c:pt idx="31">
                  <c:v>1.0700154127714644E-4</c:v>
                </c:pt>
                <c:pt idx="32">
                  <c:v>5.0156972473662394E-5</c:v>
                </c:pt>
                <c:pt idx="33">
                  <c:v>2.2798623851664718E-5</c:v>
                </c:pt>
                <c:pt idx="34">
                  <c:v>1.0058216405146206E-5</c:v>
                </c:pt>
                <c:pt idx="35">
                  <c:v>4.3106641736340876E-6</c:v>
                </c:pt>
              </c:numCache>
            </c:numRef>
          </c:val>
          <c:smooth val="0"/>
        </c:ser>
        <c:dLbls>
          <c:showLegendKey val="0"/>
          <c:showVal val="0"/>
          <c:showCatName val="0"/>
          <c:showSerName val="0"/>
          <c:showPercent val="0"/>
          <c:showBubbleSize val="0"/>
        </c:dLbls>
        <c:marker val="1"/>
        <c:smooth val="0"/>
        <c:axId val="343259544"/>
        <c:axId val="343260328"/>
      </c:lineChart>
      <c:catAx>
        <c:axId val="343259544"/>
        <c:scaling>
          <c:orientation val="minMax"/>
        </c:scaling>
        <c:delete val="0"/>
        <c:axPos val="b"/>
        <c:title>
          <c:tx>
            <c:rich>
              <a:bodyPr/>
              <a:lstStyle/>
              <a:p>
                <a:pPr>
                  <a:defRPr sz="1175" b="1" i="0" u="none" strike="noStrike" baseline="0">
                    <a:solidFill>
                      <a:srgbClr val="000000"/>
                    </a:solidFill>
                    <a:latin typeface="Arial"/>
                    <a:ea typeface="Arial"/>
                    <a:cs typeface="Arial"/>
                  </a:defRPr>
                </a:pPr>
                <a:r>
                  <a:rPr lang="en-US"/>
                  <a:t>Count of Events</a:t>
                </a:r>
              </a:p>
            </c:rich>
          </c:tx>
          <c:layout>
            <c:manualLayout>
              <c:xMode val="edge"/>
              <c:yMode val="edge"/>
              <c:x val="0.36978495205349043"/>
              <c:y val="0.85974216790380709"/>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Narrow"/>
                <a:ea typeface="Arial Narrow"/>
                <a:cs typeface="Arial Narrow"/>
              </a:defRPr>
            </a:pPr>
            <a:endParaRPr lang="en-US"/>
          </a:p>
        </c:txPr>
        <c:crossAx val="343260328"/>
        <c:crosses val="autoZero"/>
        <c:auto val="1"/>
        <c:lblAlgn val="ctr"/>
        <c:lblOffset val="100"/>
        <c:tickLblSkip val="2"/>
        <c:tickMarkSkip val="1"/>
        <c:noMultiLvlLbl val="0"/>
      </c:catAx>
      <c:valAx>
        <c:axId val="343260328"/>
        <c:scaling>
          <c:orientation val="minMax"/>
        </c:scaling>
        <c:delete val="0"/>
        <c:axPos val="l"/>
        <c:majorGridlines>
          <c:spPr>
            <a:ln w="3175">
              <a:solidFill>
                <a:srgbClr val="000000"/>
              </a:solidFill>
              <a:prstDash val="solid"/>
            </a:ln>
          </c:spPr>
        </c:majorGridlines>
        <c:title>
          <c:tx>
            <c:rich>
              <a:bodyPr/>
              <a:lstStyle/>
              <a:p>
                <a:pPr>
                  <a:defRPr sz="1000" b="1" i="0" u="none" strike="noStrike" baseline="0">
                    <a:solidFill>
                      <a:srgbClr val="000000"/>
                    </a:solidFill>
                    <a:latin typeface="Arial"/>
                    <a:ea typeface="Arial"/>
                    <a:cs typeface="Arial"/>
                  </a:defRPr>
                </a:pPr>
                <a:r>
                  <a:rPr lang="en-US"/>
                  <a:t>Probability</a:t>
                </a:r>
              </a:p>
            </c:rich>
          </c:tx>
          <c:layout>
            <c:manualLayout>
              <c:xMode val="edge"/>
              <c:yMode val="edge"/>
              <c:x val="2.7338187116795015E-2"/>
              <c:y val="0.42857237977077994"/>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343259544"/>
        <c:crosses val="autoZero"/>
        <c:crossBetween val="between"/>
      </c:valAx>
      <c:spPr>
        <a:solidFill>
          <a:srgbClr val="C0C0C0"/>
        </a:solidFill>
        <a:ln w="12700">
          <a:solidFill>
            <a:srgbClr val="808080"/>
          </a:solidFill>
          <a:prstDash val="solid"/>
        </a:ln>
      </c:spPr>
    </c:plotArea>
    <c:legend>
      <c:legendPos val="r"/>
      <c:layout>
        <c:manualLayout>
          <c:xMode val="edge"/>
          <c:yMode val="edge"/>
          <c:x val="0.87194428383040934"/>
          <c:y val="0.39740347942381415"/>
          <c:w val="0.11366930432772664"/>
          <c:h val="0.2935071449339281"/>
        </c:manualLayout>
      </c:layout>
      <c:overlay val="0"/>
      <c:spPr>
        <a:solidFill>
          <a:srgbClr val="FFFFFF"/>
        </a:solidFill>
        <a:ln w="3175">
          <a:solidFill>
            <a:srgbClr val="000000"/>
          </a:solidFill>
          <a:prstDash val="solid"/>
        </a:ln>
      </c:spPr>
      <c:txPr>
        <a:bodyPr/>
        <a:lstStyle/>
        <a:p>
          <a:pPr>
            <a:defRPr sz="1080" b="0"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FFFFFF"/>
    </a:solidFill>
    <a:ln w="3175">
      <a:solidFill>
        <a:srgbClr val="000000"/>
      </a:solidFill>
      <a:prstDash val="solid"/>
    </a:ln>
  </c:spPr>
  <c:txPr>
    <a:bodyPr/>
    <a:lstStyle/>
    <a:p>
      <a:pPr>
        <a:defRPr sz="1175"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25" b="1" i="0" u="none" strike="noStrike" baseline="0">
                <a:solidFill>
                  <a:srgbClr val="000000"/>
                </a:solidFill>
                <a:latin typeface="Arial"/>
                <a:ea typeface="Arial"/>
                <a:cs typeface="Arial"/>
              </a:defRPr>
            </a:pPr>
            <a:r>
              <a:rPr lang="en-US"/>
              <a:t>Cumulative probability density for different expected values of the poisson distribution</a:t>
            </a:r>
          </a:p>
        </c:rich>
      </c:tx>
      <c:layout>
        <c:manualLayout>
          <c:xMode val="edge"/>
          <c:yMode val="edge"/>
          <c:x val="0.13649458802746869"/>
          <c:y val="3.6175836113570579E-2"/>
        </c:manualLayout>
      </c:layout>
      <c:overlay val="0"/>
      <c:spPr>
        <a:noFill/>
        <a:ln w="25400">
          <a:noFill/>
        </a:ln>
      </c:spPr>
    </c:title>
    <c:autoTitleDeleted val="0"/>
    <c:plotArea>
      <c:layout>
        <c:manualLayout>
          <c:layoutTarget val="inner"/>
          <c:xMode val="edge"/>
          <c:yMode val="edge"/>
          <c:x val="0.1135060258333687"/>
          <c:y val="0.30491061867152347"/>
          <c:w val="0.73994434562259348"/>
          <c:h val="0.47545384606407043"/>
        </c:manualLayout>
      </c:layout>
      <c:lineChart>
        <c:grouping val="standard"/>
        <c:varyColors val="0"/>
        <c:ser>
          <c:idx val="2"/>
          <c:order val="0"/>
          <c:tx>
            <c:strRef>
              <c:f>'poisson distribution'!$B$4</c:f>
              <c:strCache>
                <c:ptCount val="1"/>
                <c:pt idx="0">
                  <c:v>0.1</c:v>
                </c:pt>
              </c:strCache>
            </c:strRef>
          </c:tx>
          <c:spPr>
            <a:ln w="12700">
              <a:solidFill>
                <a:srgbClr val="FFFF00"/>
              </a:solidFill>
              <a:prstDash val="solid"/>
            </a:ln>
          </c:spPr>
          <c:marker>
            <c:symbol val="triangle"/>
            <c:size val="5"/>
            <c:spPr>
              <a:solidFill>
                <a:srgbClr val="FFFF00"/>
              </a:solidFill>
              <a:ln>
                <a:solidFill>
                  <a:srgbClr val="FFFF00"/>
                </a:solidFill>
                <a:prstDash val="solid"/>
              </a:ln>
            </c:spPr>
          </c:marker>
          <c:cat>
            <c:numRef>
              <c:f>'poisson distribution'!$A$5:$A$40</c:f>
              <c:numCache>
                <c:formatCode>General</c:formatCode>
                <c:ptCount val="36"/>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numCache>
            </c:numRef>
          </c:cat>
          <c:val>
            <c:numRef>
              <c:f>'poisson distribution'!$B$60:$B$95</c:f>
              <c:numCache>
                <c:formatCode>General</c:formatCode>
                <c:ptCount val="36"/>
                <c:pt idx="0">
                  <c:v>0.90483741803595952</c:v>
                </c:pt>
                <c:pt idx="1">
                  <c:v>0.99532115983955549</c:v>
                </c:pt>
                <c:pt idx="2">
                  <c:v>0.99984534692973526</c:v>
                </c:pt>
                <c:pt idx="3">
                  <c:v>0.9999961531660746</c:v>
                </c:pt>
                <c:pt idx="4">
                  <c:v>0.99999992332198306</c:v>
                </c:pt>
                <c:pt idx="5">
                  <c:v>0.99999999872510126</c:v>
                </c:pt>
                <c:pt idx="6">
                  <c:v>0.99999999998181988</c:v>
                </c:pt>
                <c:pt idx="7">
                  <c:v>0.99999999999977296</c:v>
                </c:pt>
                <c:pt idx="8">
                  <c:v>0.99999999999999734</c:v>
                </c:pt>
                <c:pt idx="9">
                  <c:v>0.99999999999999978</c:v>
                </c:pt>
                <c:pt idx="10">
                  <c:v>0.99999999999999978</c:v>
                </c:pt>
                <c:pt idx="11">
                  <c:v>0.99999999999999978</c:v>
                </c:pt>
                <c:pt idx="12">
                  <c:v>0.99999999999999978</c:v>
                </c:pt>
                <c:pt idx="13">
                  <c:v>0.99999999999999978</c:v>
                </c:pt>
                <c:pt idx="14">
                  <c:v>0.99999999999999978</c:v>
                </c:pt>
                <c:pt idx="15">
                  <c:v>0.99999999999999978</c:v>
                </c:pt>
                <c:pt idx="16">
                  <c:v>0.99999999999999978</c:v>
                </c:pt>
                <c:pt idx="17">
                  <c:v>0.99999999999999978</c:v>
                </c:pt>
                <c:pt idx="18">
                  <c:v>0.99999999999999978</c:v>
                </c:pt>
                <c:pt idx="19">
                  <c:v>0.99999999999999978</c:v>
                </c:pt>
                <c:pt idx="20">
                  <c:v>0.99999999999999978</c:v>
                </c:pt>
                <c:pt idx="21">
                  <c:v>0.99999999999999978</c:v>
                </c:pt>
                <c:pt idx="22">
                  <c:v>0.99999999999999978</c:v>
                </c:pt>
                <c:pt idx="23">
                  <c:v>0.99999999999999978</c:v>
                </c:pt>
                <c:pt idx="24">
                  <c:v>0.99999999999999978</c:v>
                </c:pt>
                <c:pt idx="25">
                  <c:v>0.99999999999999978</c:v>
                </c:pt>
                <c:pt idx="26">
                  <c:v>0.99999999999999978</c:v>
                </c:pt>
                <c:pt idx="27">
                  <c:v>0.99999999999999978</c:v>
                </c:pt>
                <c:pt idx="28">
                  <c:v>0.99999999999999978</c:v>
                </c:pt>
                <c:pt idx="29">
                  <c:v>0.99999999999999978</c:v>
                </c:pt>
                <c:pt idx="30">
                  <c:v>0.99999999999999978</c:v>
                </c:pt>
                <c:pt idx="31">
                  <c:v>0.99999999999999978</c:v>
                </c:pt>
                <c:pt idx="32">
                  <c:v>0.99999999999999978</c:v>
                </c:pt>
                <c:pt idx="33">
                  <c:v>0.99999999999999978</c:v>
                </c:pt>
                <c:pt idx="34">
                  <c:v>0.99999999999999978</c:v>
                </c:pt>
                <c:pt idx="35">
                  <c:v>0.99999999999999978</c:v>
                </c:pt>
              </c:numCache>
            </c:numRef>
          </c:val>
          <c:smooth val="0"/>
        </c:ser>
        <c:ser>
          <c:idx val="3"/>
          <c:order val="1"/>
          <c:tx>
            <c:strRef>
              <c:f>'poisson distribution'!$C$4</c:f>
              <c:strCache>
                <c:ptCount val="1"/>
                <c:pt idx="0">
                  <c:v>2</c:v>
                </c:pt>
              </c:strCache>
            </c:strRef>
          </c:tx>
          <c:spPr>
            <a:ln w="12700">
              <a:solidFill>
                <a:srgbClr val="00FFFF"/>
              </a:solidFill>
              <a:prstDash val="solid"/>
            </a:ln>
          </c:spPr>
          <c:marker>
            <c:symbol val="x"/>
            <c:size val="5"/>
            <c:spPr>
              <a:noFill/>
              <a:ln>
                <a:solidFill>
                  <a:srgbClr val="00FFFF"/>
                </a:solidFill>
                <a:prstDash val="solid"/>
              </a:ln>
            </c:spPr>
          </c:marker>
          <c:cat>
            <c:numRef>
              <c:f>'poisson distribution'!$A$5:$A$40</c:f>
              <c:numCache>
                <c:formatCode>General</c:formatCode>
                <c:ptCount val="36"/>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numCache>
            </c:numRef>
          </c:cat>
          <c:val>
            <c:numRef>
              <c:f>'poisson distribution'!$C$60:$C$95</c:f>
              <c:numCache>
                <c:formatCode>General</c:formatCode>
                <c:ptCount val="36"/>
                <c:pt idx="0">
                  <c:v>0.1353352832366127</c:v>
                </c:pt>
                <c:pt idx="1">
                  <c:v>0.40600584970983811</c:v>
                </c:pt>
                <c:pt idx="2">
                  <c:v>0.67667641618306351</c:v>
                </c:pt>
                <c:pt idx="3">
                  <c:v>0.85712346049854715</c:v>
                </c:pt>
                <c:pt idx="4">
                  <c:v>0.94734698265628892</c:v>
                </c:pt>
                <c:pt idx="5">
                  <c:v>0.98343639151938567</c:v>
                </c:pt>
                <c:pt idx="6">
                  <c:v>0.99546619447375129</c:v>
                </c:pt>
                <c:pt idx="7">
                  <c:v>0.99890328103214143</c:v>
                </c:pt>
                <c:pt idx="8">
                  <c:v>0.99976255267173897</c:v>
                </c:pt>
                <c:pt idx="9">
                  <c:v>0.99995350192498289</c:v>
                </c:pt>
                <c:pt idx="10">
                  <c:v>0.99999169177563163</c:v>
                </c:pt>
                <c:pt idx="11">
                  <c:v>0.99999863538484046</c:v>
                </c:pt>
                <c:pt idx="12">
                  <c:v>0.99999979265304195</c:v>
                </c:pt>
                <c:pt idx="13">
                  <c:v>0.99999997069430369</c:v>
                </c:pt>
                <c:pt idx="14">
                  <c:v>0.99999999612876966</c:v>
                </c:pt>
                <c:pt idx="15">
                  <c:v>0.99999999952003182</c:v>
                </c:pt>
                <c:pt idx="16">
                  <c:v>0.99999999994393962</c:v>
                </c:pt>
                <c:pt idx="17">
                  <c:v>0.99999999999381117</c:v>
                </c:pt>
                <c:pt idx="18">
                  <c:v>0.99999999999935241</c:v>
                </c:pt>
                <c:pt idx="19">
                  <c:v>0.99999999999993572</c:v>
                </c:pt>
                <c:pt idx="20">
                  <c:v>0.999999999999994</c:v>
                </c:pt>
                <c:pt idx="21">
                  <c:v>0.99999999999999956</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numCache>
            </c:numRef>
          </c:val>
          <c:smooth val="0"/>
        </c:ser>
        <c:ser>
          <c:idx val="4"/>
          <c:order val="2"/>
          <c:tx>
            <c:strRef>
              <c:f>'poisson distribution'!$D$4</c:f>
              <c:strCache>
                <c:ptCount val="1"/>
                <c:pt idx="0">
                  <c:v>5</c:v>
                </c:pt>
              </c:strCache>
            </c:strRef>
          </c:tx>
          <c:spPr>
            <a:ln w="12700">
              <a:solidFill>
                <a:srgbClr val="800080"/>
              </a:solidFill>
              <a:prstDash val="solid"/>
            </a:ln>
          </c:spPr>
          <c:marker>
            <c:symbol val="star"/>
            <c:size val="5"/>
            <c:spPr>
              <a:noFill/>
              <a:ln>
                <a:solidFill>
                  <a:srgbClr val="800080"/>
                </a:solidFill>
                <a:prstDash val="solid"/>
              </a:ln>
            </c:spPr>
          </c:marker>
          <c:cat>
            <c:numRef>
              <c:f>'poisson distribution'!$A$5:$A$40</c:f>
              <c:numCache>
                <c:formatCode>General</c:formatCode>
                <c:ptCount val="36"/>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numCache>
            </c:numRef>
          </c:cat>
          <c:val>
            <c:numRef>
              <c:f>'poisson distribution'!$D$60:$D$95</c:f>
              <c:numCache>
                <c:formatCode>General</c:formatCode>
                <c:ptCount val="36"/>
                <c:pt idx="0">
                  <c:v>6.737946999085467E-3</c:v>
                </c:pt>
                <c:pt idx="1">
                  <c:v>4.0427681994512805E-2</c:v>
                </c:pt>
                <c:pt idx="2">
                  <c:v>0.12465201948308113</c:v>
                </c:pt>
                <c:pt idx="3">
                  <c:v>0.26502591529736169</c:v>
                </c:pt>
                <c:pt idx="4">
                  <c:v>0.4404932850652124</c:v>
                </c:pt>
                <c:pt idx="5">
                  <c:v>0.61596065483306317</c:v>
                </c:pt>
                <c:pt idx="6">
                  <c:v>0.76218346297293871</c:v>
                </c:pt>
                <c:pt idx="7">
                  <c:v>0.86662832592999273</c:v>
                </c:pt>
                <c:pt idx="8">
                  <c:v>0.93190636527815152</c:v>
                </c:pt>
                <c:pt idx="9">
                  <c:v>0.96817194269379525</c:v>
                </c:pt>
                <c:pt idx="10">
                  <c:v>0.98630473140161712</c:v>
                </c:pt>
                <c:pt idx="11">
                  <c:v>0.99454690808699064</c:v>
                </c:pt>
                <c:pt idx="12">
                  <c:v>0.99798114837256302</c:v>
                </c:pt>
                <c:pt idx="13">
                  <c:v>0.99930201002086005</c:v>
                </c:pt>
                <c:pt idx="14">
                  <c:v>0.99977374632382332</c:v>
                </c:pt>
                <c:pt idx="15">
                  <c:v>0.99993099175814437</c:v>
                </c:pt>
                <c:pt idx="16">
                  <c:v>0.99998013095636973</c:v>
                </c:pt>
                <c:pt idx="17">
                  <c:v>0.99999458366173011</c:v>
                </c:pt>
                <c:pt idx="18">
                  <c:v>0.99999859830210802</c:v>
                </c:pt>
                <c:pt idx="19">
                  <c:v>0.99999965478641795</c:v>
                </c:pt>
                <c:pt idx="20">
                  <c:v>0.9999999189074954</c:v>
                </c:pt>
                <c:pt idx="21">
                  <c:v>0.99999998179346627</c:v>
                </c:pt>
                <c:pt idx="22">
                  <c:v>0.99999999608573242</c:v>
                </c:pt>
                <c:pt idx="23">
                  <c:v>0.99999999919274685</c:v>
                </c:pt>
                <c:pt idx="24">
                  <c:v>0.99999999984004151</c:v>
                </c:pt>
                <c:pt idx="25">
                  <c:v>0.9999999999695004</c:v>
                </c:pt>
                <c:pt idx="26">
                  <c:v>0.99999999999439637</c:v>
                </c:pt>
                <c:pt idx="27">
                  <c:v>0.99999999999900668</c:v>
                </c:pt>
                <c:pt idx="28">
                  <c:v>0.99999999999982991</c:v>
                </c:pt>
                <c:pt idx="29">
                  <c:v>0.99999999999997191</c:v>
                </c:pt>
                <c:pt idx="30">
                  <c:v>0.99999999999999556</c:v>
                </c:pt>
                <c:pt idx="31">
                  <c:v>0.99999999999999933</c:v>
                </c:pt>
                <c:pt idx="32">
                  <c:v>0.99999999999999989</c:v>
                </c:pt>
                <c:pt idx="33">
                  <c:v>1</c:v>
                </c:pt>
                <c:pt idx="34">
                  <c:v>1</c:v>
                </c:pt>
                <c:pt idx="35">
                  <c:v>1</c:v>
                </c:pt>
              </c:numCache>
            </c:numRef>
          </c:val>
          <c:smooth val="0"/>
        </c:ser>
        <c:ser>
          <c:idx val="0"/>
          <c:order val="3"/>
          <c:tx>
            <c:strRef>
              <c:f>'poisson distribution'!$E$4</c:f>
              <c:strCache>
                <c:ptCount val="1"/>
                <c:pt idx="0">
                  <c:v>15</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cat>
            <c:numRef>
              <c:f>'poisson distribution'!$A$5:$A$40</c:f>
              <c:numCache>
                <c:formatCode>General</c:formatCode>
                <c:ptCount val="36"/>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numCache>
            </c:numRef>
          </c:cat>
          <c:val>
            <c:numRef>
              <c:f>'poisson distribution'!$E$60:$E$95</c:f>
              <c:numCache>
                <c:formatCode>General</c:formatCode>
                <c:ptCount val="36"/>
                <c:pt idx="0">
                  <c:v>3.0590232050182579E-7</c:v>
                </c:pt>
                <c:pt idx="1">
                  <c:v>4.8944371280292126E-6</c:v>
                </c:pt>
                <c:pt idx="2">
                  <c:v>3.9308448184484612E-5</c:v>
                </c:pt>
                <c:pt idx="3">
                  <c:v>2.113785034667616E-4</c:v>
                </c:pt>
                <c:pt idx="4">
                  <c:v>8.5664121077530032E-4</c:v>
                </c:pt>
                <c:pt idx="5">
                  <c:v>2.7924293327009166E-3</c:v>
                </c:pt>
                <c:pt idx="6">
                  <c:v>7.6318996375149568E-3</c:v>
                </c:pt>
                <c:pt idx="7">
                  <c:v>1.8002193147830758E-2</c:v>
                </c:pt>
                <c:pt idx="8">
                  <c:v>3.7446493479672882E-2</c:v>
                </c:pt>
                <c:pt idx="9">
                  <c:v>6.9853660699409764E-2</c:v>
                </c:pt>
                <c:pt idx="10">
                  <c:v>0.11846441152901507</c:v>
                </c:pt>
                <c:pt idx="11">
                  <c:v>0.18475179902393141</c:v>
                </c:pt>
                <c:pt idx="12">
                  <c:v>0.26761103339257686</c:v>
                </c:pt>
                <c:pt idx="13">
                  <c:v>0.36321784227947546</c:v>
                </c:pt>
                <c:pt idx="14">
                  <c:v>0.46565370894400965</c:v>
                </c:pt>
                <c:pt idx="15">
                  <c:v>0.56808957560854378</c:v>
                </c:pt>
                <c:pt idx="16">
                  <c:v>0.66412320060654462</c:v>
                </c:pt>
                <c:pt idx="17">
                  <c:v>0.74885875207536889</c:v>
                </c:pt>
                <c:pt idx="18">
                  <c:v>0.81947171163272237</c:v>
                </c:pt>
                <c:pt idx="19">
                  <c:v>0.87521878496747518</c:v>
                </c:pt>
                <c:pt idx="20">
                  <c:v>0.91702908996853982</c:v>
                </c:pt>
                <c:pt idx="21">
                  <c:v>0.94689359354072877</c:v>
                </c:pt>
                <c:pt idx="22">
                  <c:v>0.96725575506722128</c:v>
                </c:pt>
                <c:pt idx="23">
                  <c:v>0.98053542562797724</c:v>
                </c:pt>
                <c:pt idx="24">
                  <c:v>0.98883521972844968</c:v>
                </c:pt>
                <c:pt idx="25">
                  <c:v>0.9938150961887332</c:v>
                </c:pt>
                <c:pt idx="26">
                  <c:v>0.99668810183889678</c:v>
                </c:pt>
                <c:pt idx="27">
                  <c:v>0.99828421608898765</c:v>
                </c:pt>
                <c:pt idx="28">
                  <c:v>0.99913927729439345</c:v>
                </c:pt>
                <c:pt idx="29">
                  <c:v>0.99958155033167229</c:v>
                </c:pt>
                <c:pt idx="30">
                  <c:v>0.99980268685031171</c:v>
                </c:pt>
                <c:pt idx="31">
                  <c:v>0.99990968839158889</c:v>
                </c:pt>
                <c:pt idx="32">
                  <c:v>0.99995984536406257</c:v>
                </c:pt>
                <c:pt idx="33">
                  <c:v>0.99998264398791425</c:v>
                </c:pt>
                <c:pt idx="34">
                  <c:v>0.99999270220431935</c:v>
                </c:pt>
                <c:pt idx="35">
                  <c:v>0.99999701286849296</c:v>
                </c:pt>
              </c:numCache>
            </c:numRef>
          </c:val>
          <c:smooth val="0"/>
        </c:ser>
        <c:dLbls>
          <c:showLegendKey val="0"/>
          <c:showVal val="0"/>
          <c:showCatName val="0"/>
          <c:showSerName val="0"/>
          <c:showPercent val="0"/>
          <c:showBubbleSize val="0"/>
        </c:dLbls>
        <c:marker val="1"/>
        <c:smooth val="0"/>
        <c:axId val="343261504"/>
        <c:axId val="343261896"/>
      </c:lineChart>
      <c:catAx>
        <c:axId val="343261504"/>
        <c:scaling>
          <c:orientation val="minMax"/>
        </c:scaling>
        <c:delete val="0"/>
        <c:axPos val="b"/>
        <c:title>
          <c:tx>
            <c:rich>
              <a:bodyPr/>
              <a:lstStyle/>
              <a:p>
                <a:pPr>
                  <a:defRPr sz="1200" b="1" i="0" u="none" strike="noStrike" baseline="0">
                    <a:solidFill>
                      <a:srgbClr val="000000"/>
                    </a:solidFill>
                    <a:latin typeface="Arial"/>
                    <a:ea typeface="Arial"/>
                    <a:cs typeface="Arial"/>
                  </a:defRPr>
                </a:pPr>
                <a:r>
                  <a:rPr lang="en-US"/>
                  <a:t>Count of Events</a:t>
                </a:r>
              </a:p>
            </c:rich>
          </c:tx>
          <c:layout>
            <c:manualLayout>
              <c:xMode val="edge"/>
              <c:yMode val="edge"/>
              <c:x val="0.36925378024273109"/>
              <c:y val="0.860468101844214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Narrow"/>
                <a:ea typeface="Arial Narrow"/>
                <a:cs typeface="Arial Narrow"/>
              </a:defRPr>
            </a:pPr>
            <a:endParaRPr lang="en-US"/>
          </a:p>
        </c:txPr>
        <c:crossAx val="343261896"/>
        <c:crosses val="autoZero"/>
        <c:auto val="1"/>
        <c:lblAlgn val="ctr"/>
        <c:lblOffset val="100"/>
        <c:tickLblSkip val="2"/>
        <c:tickMarkSkip val="1"/>
        <c:noMultiLvlLbl val="0"/>
      </c:catAx>
      <c:valAx>
        <c:axId val="343261896"/>
        <c:scaling>
          <c:orientation val="minMax"/>
        </c:scaling>
        <c:delete val="0"/>
        <c:axPos val="l"/>
        <c:majorGridlines>
          <c:spPr>
            <a:ln w="3175">
              <a:solidFill>
                <a:srgbClr val="000000"/>
              </a:solidFill>
              <a:prstDash val="solid"/>
            </a:ln>
          </c:spPr>
        </c:majorGridlines>
        <c:title>
          <c:tx>
            <c:rich>
              <a:bodyPr/>
              <a:lstStyle/>
              <a:p>
                <a:pPr>
                  <a:defRPr sz="1000" b="1" i="0" u="none" strike="noStrike" baseline="0">
                    <a:solidFill>
                      <a:srgbClr val="000000"/>
                    </a:solidFill>
                    <a:latin typeface="Arial"/>
                    <a:ea typeface="Arial"/>
                    <a:cs typeface="Arial"/>
                  </a:defRPr>
                </a:pPr>
                <a:r>
                  <a:rPr lang="en-US"/>
                  <a:t>Probability</a:t>
                </a:r>
              </a:p>
            </c:rich>
          </c:tx>
          <c:layout>
            <c:manualLayout>
              <c:xMode val="edge"/>
              <c:yMode val="edge"/>
              <c:x val="2.7298917605493741E-2"/>
              <c:y val="0.42894205677519393"/>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343261504"/>
        <c:crosses val="autoZero"/>
        <c:crossBetween val="between"/>
      </c:valAx>
      <c:spPr>
        <a:solidFill>
          <a:srgbClr val="C0C0C0"/>
        </a:solidFill>
        <a:ln w="12700">
          <a:solidFill>
            <a:srgbClr val="808080"/>
          </a:solidFill>
          <a:prstDash val="solid"/>
        </a:ln>
      </c:spPr>
    </c:plotArea>
    <c:legend>
      <c:legendPos val="r"/>
      <c:layout>
        <c:manualLayout>
          <c:xMode val="edge"/>
          <c:yMode val="edge"/>
          <c:x val="0.87212857823866841"/>
          <c:y val="0.39793419724927637"/>
          <c:w val="0.1135060258333687"/>
          <c:h val="0.29199067720239108"/>
        </c:manualLayout>
      </c:layout>
      <c:overlay val="0"/>
      <c:spPr>
        <a:solidFill>
          <a:srgbClr val="FFFFFF"/>
        </a:solidFill>
        <a:ln w="3175">
          <a:solidFill>
            <a:srgbClr val="000000"/>
          </a:solidFill>
          <a:prstDash val="solid"/>
        </a:ln>
      </c:spPr>
      <c:txPr>
        <a:bodyPr/>
        <a:lstStyle/>
        <a:p>
          <a:pPr>
            <a:defRPr sz="1100" b="0"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FFFFFF"/>
    </a:solidFill>
    <a:ln w="3175">
      <a:solidFill>
        <a:srgbClr val="000000"/>
      </a:solidFill>
      <a:prstDash val="solid"/>
    </a:ln>
  </c:spPr>
  <c:txPr>
    <a:bodyPr/>
    <a:lstStyle/>
    <a:p>
      <a:pPr>
        <a:defRPr sz="12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44432338095499546"/>
          <c:y val="3.3932251476422322E-2"/>
        </c:manualLayout>
      </c:layout>
      <c:overlay val="0"/>
      <c:spPr>
        <a:noFill/>
        <a:ln w="25400">
          <a:noFill/>
        </a:ln>
      </c:spPr>
      <c:txPr>
        <a:bodyPr/>
        <a:lstStyle/>
        <a:p>
          <a:pPr>
            <a:defRPr sz="1000" b="0" i="0" u="none" strike="noStrike" baseline="0">
              <a:solidFill>
                <a:srgbClr val="000000"/>
              </a:solidFill>
              <a:latin typeface="Arial"/>
              <a:ea typeface="Arial"/>
              <a:cs typeface="Arial"/>
            </a:defRPr>
          </a:pPr>
          <a:endParaRPr lang="en-US"/>
        </a:p>
      </c:txPr>
    </c:title>
    <c:autoTitleDeleted val="0"/>
    <c:plotArea>
      <c:layout>
        <c:manualLayout>
          <c:layoutTarget val="inner"/>
          <c:xMode val="edge"/>
          <c:yMode val="edge"/>
          <c:x val="0.10152843840003584"/>
          <c:y val="0.16566922779665014"/>
          <c:w val="0.70087373605186021"/>
          <c:h val="0.65868488160113914"/>
        </c:manualLayout>
      </c:layout>
      <c:scatterChart>
        <c:scatterStyle val="smoothMarker"/>
        <c:varyColors val="0"/>
        <c:ser>
          <c:idx val="0"/>
          <c:order val="0"/>
          <c:tx>
            <c:v>Likelihood Fn</c:v>
          </c:tx>
          <c:spPr>
            <a:ln w="12700">
              <a:solidFill>
                <a:srgbClr val="000080"/>
              </a:solidFill>
              <a:prstDash val="solid"/>
            </a:ln>
          </c:spPr>
          <c:marker>
            <c:symbol val="diamond"/>
            <c:size val="5"/>
            <c:spPr>
              <a:solidFill>
                <a:srgbClr val="000080"/>
              </a:solidFill>
              <a:ln>
                <a:solidFill>
                  <a:srgbClr val="000080"/>
                </a:solidFill>
                <a:prstDash val="solid"/>
              </a:ln>
            </c:spPr>
          </c:marker>
          <c:xVal>
            <c:numRef>
              <c:f>'Poisson Likelihood Fn'!$A$13:$A$300</c:f>
              <c:numCache>
                <c:formatCode>General</c:formatCode>
                <c:ptCount val="288"/>
                <c:pt idx="0">
                  <c:v>1E-3</c:v>
                </c:pt>
                <c:pt idx="1">
                  <c:v>0.1</c:v>
                </c:pt>
                <c:pt idx="2">
                  <c:v>0.2</c:v>
                </c:pt>
                <c:pt idx="3">
                  <c:v>0.30000000000000004</c:v>
                </c:pt>
                <c:pt idx="4">
                  <c:v>0.4</c:v>
                </c:pt>
                <c:pt idx="5">
                  <c:v>0.5</c:v>
                </c:pt>
                <c:pt idx="6">
                  <c:v>0.6</c:v>
                </c:pt>
                <c:pt idx="7">
                  <c:v>0.7</c:v>
                </c:pt>
                <c:pt idx="8">
                  <c:v>0.79999999999999993</c:v>
                </c:pt>
                <c:pt idx="9">
                  <c:v>0.89999999999999991</c:v>
                </c:pt>
                <c:pt idx="10">
                  <c:v>0.99999999999999989</c:v>
                </c:pt>
                <c:pt idx="11">
                  <c:v>1.0999999999999999</c:v>
                </c:pt>
                <c:pt idx="12">
                  <c:v>1.2</c:v>
                </c:pt>
                <c:pt idx="13">
                  <c:v>1.3</c:v>
                </c:pt>
                <c:pt idx="14">
                  <c:v>1.4000000000000001</c:v>
                </c:pt>
                <c:pt idx="15">
                  <c:v>1.5000000000000002</c:v>
                </c:pt>
                <c:pt idx="16">
                  <c:v>1.6000000000000003</c:v>
                </c:pt>
                <c:pt idx="17">
                  <c:v>1.7000000000000004</c:v>
                </c:pt>
                <c:pt idx="18">
                  <c:v>1.8000000000000005</c:v>
                </c:pt>
                <c:pt idx="19">
                  <c:v>1.9000000000000006</c:v>
                </c:pt>
                <c:pt idx="20">
                  <c:v>2.0000000000000004</c:v>
                </c:pt>
                <c:pt idx="21">
                  <c:v>2.1000000000000005</c:v>
                </c:pt>
                <c:pt idx="22">
                  <c:v>2.2000000000000006</c:v>
                </c:pt>
                <c:pt idx="23">
                  <c:v>2.3000000000000007</c:v>
                </c:pt>
                <c:pt idx="24">
                  <c:v>2.4000000000000008</c:v>
                </c:pt>
                <c:pt idx="25">
                  <c:v>2.5000000000000009</c:v>
                </c:pt>
                <c:pt idx="26">
                  <c:v>2.600000000000001</c:v>
                </c:pt>
                <c:pt idx="27">
                  <c:v>2.7000000000000011</c:v>
                </c:pt>
                <c:pt idx="28">
                  <c:v>2.8000000000000012</c:v>
                </c:pt>
                <c:pt idx="29">
                  <c:v>2.9000000000000012</c:v>
                </c:pt>
                <c:pt idx="30">
                  <c:v>3.0000000000000013</c:v>
                </c:pt>
                <c:pt idx="31">
                  <c:v>3.1000000000000014</c:v>
                </c:pt>
                <c:pt idx="32">
                  <c:v>3.2000000000000015</c:v>
                </c:pt>
                <c:pt idx="33">
                  <c:v>3.3000000000000016</c:v>
                </c:pt>
                <c:pt idx="34">
                  <c:v>3.4000000000000017</c:v>
                </c:pt>
                <c:pt idx="35">
                  <c:v>3.5000000000000018</c:v>
                </c:pt>
                <c:pt idx="36">
                  <c:v>3.6000000000000019</c:v>
                </c:pt>
                <c:pt idx="37">
                  <c:v>3.700000000000002</c:v>
                </c:pt>
                <c:pt idx="38">
                  <c:v>3.800000000000002</c:v>
                </c:pt>
                <c:pt idx="39">
                  <c:v>3.9000000000000021</c:v>
                </c:pt>
                <c:pt idx="40">
                  <c:v>4.0000000000000018</c:v>
                </c:pt>
                <c:pt idx="41">
                  <c:v>4.1000000000000014</c:v>
                </c:pt>
                <c:pt idx="42">
                  <c:v>4.2000000000000011</c:v>
                </c:pt>
                <c:pt idx="43">
                  <c:v>4.3000000000000007</c:v>
                </c:pt>
                <c:pt idx="44">
                  <c:v>4.4000000000000004</c:v>
                </c:pt>
                <c:pt idx="45">
                  <c:v>4.5</c:v>
                </c:pt>
                <c:pt idx="46">
                  <c:v>4.5999999999999996</c:v>
                </c:pt>
                <c:pt idx="47">
                  <c:v>4.6999999999999993</c:v>
                </c:pt>
                <c:pt idx="48">
                  <c:v>4.7999999999999989</c:v>
                </c:pt>
                <c:pt idx="49">
                  <c:v>4.8999999999999986</c:v>
                </c:pt>
                <c:pt idx="50">
                  <c:v>4.9999999999999982</c:v>
                </c:pt>
                <c:pt idx="51">
                  <c:v>5.0999999999999979</c:v>
                </c:pt>
                <c:pt idx="52">
                  <c:v>5.1999999999999975</c:v>
                </c:pt>
                <c:pt idx="53">
                  <c:v>5.2999999999999972</c:v>
                </c:pt>
                <c:pt idx="54">
                  <c:v>5.3999999999999968</c:v>
                </c:pt>
                <c:pt idx="55">
                  <c:v>5.4999999999999964</c:v>
                </c:pt>
                <c:pt idx="56">
                  <c:v>5.5999999999999961</c:v>
                </c:pt>
                <c:pt idx="57">
                  <c:v>5.6999999999999957</c:v>
                </c:pt>
                <c:pt idx="58">
                  <c:v>5.7999999999999954</c:v>
                </c:pt>
                <c:pt idx="59">
                  <c:v>5.899999999999995</c:v>
                </c:pt>
                <c:pt idx="60">
                  <c:v>5.9999999999999947</c:v>
                </c:pt>
                <c:pt idx="61">
                  <c:v>6.0999999999999943</c:v>
                </c:pt>
                <c:pt idx="62">
                  <c:v>6.199999999999994</c:v>
                </c:pt>
                <c:pt idx="63">
                  <c:v>6.2999999999999936</c:v>
                </c:pt>
                <c:pt idx="64">
                  <c:v>6.3999999999999932</c:v>
                </c:pt>
                <c:pt idx="65">
                  <c:v>6.4999999999999929</c:v>
                </c:pt>
                <c:pt idx="66">
                  <c:v>6.5999999999999925</c:v>
                </c:pt>
                <c:pt idx="67">
                  <c:v>6.6999999999999922</c:v>
                </c:pt>
                <c:pt idx="68">
                  <c:v>6.7999999999999918</c:v>
                </c:pt>
                <c:pt idx="69">
                  <c:v>6.8999999999999915</c:v>
                </c:pt>
                <c:pt idx="70">
                  <c:v>6.9999999999999911</c:v>
                </c:pt>
                <c:pt idx="71">
                  <c:v>7.0999999999999908</c:v>
                </c:pt>
                <c:pt idx="72">
                  <c:v>7.1999999999999904</c:v>
                </c:pt>
                <c:pt idx="73">
                  <c:v>7.2999999999999901</c:v>
                </c:pt>
                <c:pt idx="74">
                  <c:v>7.3999999999999897</c:v>
                </c:pt>
                <c:pt idx="75">
                  <c:v>7.4999999999999893</c:v>
                </c:pt>
                <c:pt idx="76">
                  <c:v>7.599999999999989</c:v>
                </c:pt>
                <c:pt idx="77">
                  <c:v>7.6999999999999886</c:v>
                </c:pt>
                <c:pt idx="78">
                  <c:v>7.7999999999999883</c:v>
                </c:pt>
                <c:pt idx="79">
                  <c:v>7.8999999999999879</c:v>
                </c:pt>
                <c:pt idx="80">
                  <c:v>7.9999999999999876</c:v>
                </c:pt>
                <c:pt idx="81">
                  <c:v>8.0999999999999872</c:v>
                </c:pt>
                <c:pt idx="82">
                  <c:v>8.1999999999999869</c:v>
                </c:pt>
                <c:pt idx="83">
                  <c:v>8.2999999999999865</c:v>
                </c:pt>
                <c:pt idx="84">
                  <c:v>8.3999999999999861</c:v>
                </c:pt>
                <c:pt idx="85">
                  <c:v>8.4999999999999858</c:v>
                </c:pt>
                <c:pt idx="86">
                  <c:v>8.5999999999999854</c:v>
                </c:pt>
                <c:pt idx="87">
                  <c:v>8.6999999999999851</c:v>
                </c:pt>
                <c:pt idx="88">
                  <c:v>8.7999999999999847</c:v>
                </c:pt>
                <c:pt idx="89">
                  <c:v>8.8999999999999844</c:v>
                </c:pt>
                <c:pt idx="90">
                  <c:v>8.999999999999984</c:v>
                </c:pt>
                <c:pt idx="91">
                  <c:v>9.0999999999999837</c:v>
                </c:pt>
                <c:pt idx="92">
                  <c:v>9.1999999999999833</c:v>
                </c:pt>
                <c:pt idx="93">
                  <c:v>9.2999999999999829</c:v>
                </c:pt>
                <c:pt idx="94">
                  <c:v>9.3999999999999826</c:v>
                </c:pt>
                <c:pt idx="95">
                  <c:v>9.4999999999999822</c:v>
                </c:pt>
                <c:pt idx="96">
                  <c:v>9.5999999999999819</c:v>
                </c:pt>
                <c:pt idx="97">
                  <c:v>9.6999999999999815</c:v>
                </c:pt>
                <c:pt idx="98">
                  <c:v>9.7999999999999812</c:v>
                </c:pt>
                <c:pt idx="99">
                  <c:v>9.8999999999999808</c:v>
                </c:pt>
                <c:pt idx="100">
                  <c:v>9.9999999999999805</c:v>
                </c:pt>
                <c:pt idx="101">
                  <c:v>10.09999999999998</c:v>
                </c:pt>
                <c:pt idx="102">
                  <c:v>10.19999999999998</c:v>
                </c:pt>
                <c:pt idx="103">
                  <c:v>10.299999999999979</c:v>
                </c:pt>
                <c:pt idx="104">
                  <c:v>10.399999999999979</c:v>
                </c:pt>
                <c:pt idx="105">
                  <c:v>10.499999999999979</c:v>
                </c:pt>
                <c:pt idx="106">
                  <c:v>10.599999999999978</c:v>
                </c:pt>
                <c:pt idx="107">
                  <c:v>10.699999999999978</c:v>
                </c:pt>
                <c:pt idx="108">
                  <c:v>10.799999999999978</c:v>
                </c:pt>
                <c:pt idx="109">
                  <c:v>10.899999999999977</c:v>
                </c:pt>
                <c:pt idx="110">
                  <c:v>10.999999999999977</c:v>
                </c:pt>
                <c:pt idx="111">
                  <c:v>11.099999999999977</c:v>
                </c:pt>
                <c:pt idx="112">
                  <c:v>11.199999999999976</c:v>
                </c:pt>
                <c:pt idx="113">
                  <c:v>11.299999999999976</c:v>
                </c:pt>
                <c:pt idx="114">
                  <c:v>11.399999999999975</c:v>
                </c:pt>
                <c:pt idx="115">
                  <c:v>11.499999999999975</c:v>
                </c:pt>
                <c:pt idx="116">
                  <c:v>11.599999999999975</c:v>
                </c:pt>
                <c:pt idx="117">
                  <c:v>11.699999999999974</c:v>
                </c:pt>
                <c:pt idx="118">
                  <c:v>11.799999999999974</c:v>
                </c:pt>
                <c:pt idx="119">
                  <c:v>11.899999999999974</c:v>
                </c:pt>
                <c:pt idx="120">
                  <c:v>11.999999999999973</c:v>
                </c:pt>
                <c:pt idx="121">
                  <c:v>12.099999999999973</c:v>
                </c:pt>
                <c:pt idx="122">
                  <c:v>12.199999999999973</c:v>
                </c:pt>
                <c:pt idx="123">
                  <c:v>12.299999999999972</c:v>
                </c:pt>
                <c:pt idx="124">
                  <c:v>12.399999999999972</c:v>
                </c:pt>
                <c:pt idx="125">
                  <c:v>12.499999999999972</c:v>
                </c:pt>
                <c:pt idx="126">
                  <c:v>12.599999999999971</c:v>
                </c:pt>
                <c:pt idx="127">
                  <c:v>12.699999999999971</c:v>
                </c:pt>
                <c:pt idx="128">
                  <c:v>12.799999999999971</c:v>
                </c:pt>
                <c:pt idx="129">
                  <c:v>12.89999999999997</c:v>
                </c:pt>
                <c:pt idx="130">
                  <c:v>12.99999999999997</c:v>
                </c:pt>
                <c:pt idx="131">
                  <c:v>13.099999999999969</c:v>
                </c:pt>
                <c:pt idx="132">
                  <c:v>13.199999999999969</c:v>
                </c:pt>
                <c:pt idx="133">
                  <c:v>13.299999999999969</c:v>
                </c:pt>
                <c:pt idx="134">
                  <c:v>13.399999999999968</c:v>
                </c:pt>
                <c:pt idx="135">
                  <c:v>13.499999999999968</c:v>
                </c:pt>
                <c:pt idx="136">
                  <c:v>13.599999999999968</c:v>
                </c:pt>
                <c:pt idx="137">
                  <c:v>13.699999999999967</c:v>
                </c:pt>
                <c:pt idx="138">
                  <c:v>13.799999999999967</c:v>
                </c:pt>
                <c:pt idx="139">
                  <c:v>13.899999999999967</c:v>
                </c:pt>
                <c:pt idx="140">
                  <c:v>13.999999999999966</c:v>
                </c:pt>
                <c:pt idx="141">
                  <c:v>14.099999999999966</c:v>
                </c:pt>
                <c:pt idx="142">
                  <c:v>14.199999999999966</c:v>
                </c:pt>
                <c:pt idx="143">
                  <c:v>14.299999999999965</c:v>
                </c:pt>
                <c:pt idx="144">
                  <c:v>14.399999999999965</c:v>
                </c:pt>
                <c:pt idx="145">
                  <c:v>14.499999999999964</c:v>
                </c:pt>
                <c:pt idx="146">
                  <c:v>14.599999999999964</c:v>
                </c:pt>
                <c:pt idx="147">
                  <c:v>14.699999999999964</c:v>
                </c:pt>
                <c:pt idx="148">
                  <c:v>14.799999999999963</c:v>
                </c:pt>
                <c:pt idx="149">
                  <c:v>14.899999999999963</c:v>
                </c:pt>
                <c:pt idx="150">
                  <c:v>14.999999999999963</c:v>
                </c:pt>
                <c:pt idx="151">
                  <c:v>15.099999999999962</c:v>
                </c:pt>
                <c:pt idx="152">
                  <c:v>15.199999999999962</c:v>
                </c:pt>
                <c:pt idx="153">
                  <c:v>15.299999999999962</c:v>
                </c:pt>
                <c:pt idx="154">
                  <c:v>15.399999999999961</c:v>
                </c:pt>
                <c:pt idx="155">
                  <c:v>15.499999999999961</c:v>
                </c:pt>
                <c:pt idx="156">
                  <c:v>15.599999999999961</c:v>
                </c:pt>
                <c:pt idx="157">
                  <c:v>15.69999999999996</c:v>
                </c:pt>
                <c:pt idx="158">
                  <c:v>15.79999999999996</c:v>
                </c:pt>
                <c:pt idx="159">
                  <c:v>15.899999999999959</c:v>
                </c:pt>
                <c:pt idx="160">
                  <c:v>15.999999999999959</c:v>
                </c:pt>
                <c:pt idx="161">
                  <c:v>16.099999999999959</c:v>
                </c:pt>
                <c:pt idx="162">
                  <c:v>16.19999999999996</c:v>
                </c:pt>
                <c:pt idx="163">
                  <c:v>16.299999999999962</c:v>
                </c:pt>
                <c:pt idx="164">
                  <c:v>16.399999999999963</c:v>
                </c:pt>
                <c:pt idx="165">
                  <c:v>16.499999999999964</c:v>
                </c:pt>
                <c:pt idx="166">
                  <c:v>16.599999999999966</c:v>
                </c:pt>
                <c:pt idx="167">
                  <c:v>16.699999999999967</c:v>
                </c:pt>
                <c:pt idx="168">
                  <c:v>16.799999999999969</c:v>
                </c:pt>
                <c:pt idx="169">
                  <c:v>16.89999999999997</c:v>
                </c:pt>
                <c:pt idx="170">
                  <c:v>16.999999999999972</c:v>
                </c:pt>
                <c:pt idx="171">
                  <c:v>17.099999999999973</c:v>
                </c:pt>
                <c:pt idx="172">
                  <c:v>17.199999999999974</c:v>
                </c:pt>
                <c:pt idx="173">
                  <c:v>17.299999999999976</c:v>
                </c:pt>
                <c:pt idx="174">
                  <c:v>17.399999999999977</c:v>
                </c:pt>
                <c:pt idx="175">
                  <c:v>17.499999999999979</c:v>
                </c:pt>
                <c:pt idx="176">
                  <c:v>17.59999999999998</c:v>
                </c:pt>
                <c:pt idx="177">
                  <c:v>17.699999999999982</c:v>
                </c:pt>
                <c:pt idx="178">
                  <c:v>17.799999999999983</c:v>
                </c:pt>
                <c:pt idx="179">
                  <c:v>17.899999999999984</c:v>
                </c:pt>
                <c:pt idx="180">
                  <c:v>17.999999999999986</c:v>
                </c:pt>
                <c:pt idx="181">
                  <c:v>18.099999999999987</c:v>
                </c:pt>
                <c:pt idx="182">
                  <c:v>18.199999999999989</c:v>
                </c:pt>
                <c:pt idx="183">
                  <c:v>18.29999999999999</c:v>
                </c:pt>
                <c:pt idx="184">
                  <c:v>18.399999999999991</c:v>
                </c:pt>
                <c:pt idx="185">
                  <c:v>18.499999999999993</c:v>
                </c:pt>
                <c:pt idx="186">
                  <c:v>18.599999999999994</c:v>
                </c:pt>
                <c:pt idx="187">
                  <c:v>18.699999999999996</c:v>
                </c:pt>
                <c:pt idx="188">
                  <c:v>18.799999999999997</c:v>
                </c:pt>
                <c:pt idx="189">
                  <c:v>18.899999999999999</c:v>
                </c:pt>
                <c:pt idx="190">
                  <c:v>19</c:v>
                </c:pt>
                <c:pt idx="191">
                  <c:v>19.100000000000001</c:v>
                </c:pt>
                <c:pt idx="192">
                  <c:v>19.200000000000003</c:v>
                </c:pt>
                <c:pt idx="193">
                  <c:v>19.300000000000004</c:v>
                </c:pt>
                <c:pt idx="194">
                  <c:v>19.400000000000006</c:v>
                </c:pt>
                <c:pt idx="195">
                  <c:v>19.500000000000007</c:v>
                </c:pt>
                <c:pt idx="196">
                  <c:v>19.600000000000009</c:v>
                </c:pt>
                <c:pt idx="197">
                  <c:v>19.70000000000001</c:v>
                </c:pt>
                <c:pt idx="198">
                  <c:v>19.800000000000011</c:v>
                </c:pt>
                <c:pt idx="199">
                  <c:v>19.900000000000013</c:v>
                </c:pt>
                <c:pt idx="200">
                  <c:v>20.000000000000014</c:v>
                </c:pt>
                <c:pt idx="201">
                  <c:v>20.100000000000016</c:v>
                </c:pt>
                <c:pt idx="202">
                  <c:v>20.200000000000017</c:v>
                </c:pt>
                <c:pt idx="203">
                  <c:v>20.300000000000018</c:v>
                </c:pt>
                <c:pt idx="204">
                  <c:v>20.40000000000002</c:v>
                </c:pt>
                <c:pt idx="205">
                  <c:v>20.500000000000021</c:v>
                </c:pt>
                <c:pt idx="206">
                  <c:v>20.600000000000023</c:v>
                </c:pt>
                <c:pt idx="207">
                  <c:v>20.700000000000024</c:v>
                </c:pt>
                <c:pt idx="208">
                  <c:v>20.800000000000026</c:v>
                </c:pt>
                <c:pt idx="209">
                  <c:v>20.900000000000027</c:v>
                </c:pt>
                <c:pt idx="210">
                  <c:v>21.000000000000028</c:v>
                </c:pt>
                <c:pt idx="211">
                  <c:v>21.10000000000003</c:v>
                </c:pt>
                <c:pt idx="212">
                  <c:v>21.200000000000031</c:v>
                </c:pt>
                <c:pt idx="213">
                  <c:v>21.300000000000033</c:v>
                </c:pt>
                <c:pt idx="214">
                  <c:v>21.400000000000034</c:v>
                </c:pt>
                <c:pt idx="215">
                  <c:v>21.500000000000036</c:v>
                </c:pt>
                <c:pt idx="216">
                  <c:v>21.600000000000037</c:v>
                </c:pt>
                <c:pt idx="217">
                  <c:v>21.700000000000038</c:v>
                </c:pt>
                <c:pt idx="218">
                  <c:v>21.80000000000004</c:v>
                </c:pt>
                <c:pt idx="219">
                  <c:v>21.900000000000041</c:v>
                </c:pt>
                <c:pt idx="220">
                  <c:v>22.000000000000043</c:v>
                </c:pt>
                <c:pt idx="221">
                  <c:v>22.100000000000044</c:v>
                </c:pt>
                <c:pt idx="222">
                  <c:v>22.200000000000045</c:v>
                </c:pt>
                <c:pt idx="223">
                  <c:v>22.300000000000047</c:v>
                </c:pt>
                <c:pt idx="224">
                  <c:v>22.400000000000048</c:v>
                </c:pt>
                <c:pt idx="225">
                  <c:v>22.50000000000005</c:v>
                </c:pt>
                <c:pt idx="226">
                  <c:v>22.600000000000051</c:v>
                </c:pt>
                <c:pt idx="227">
                  <c:v>22.700000000000053</c:v>
                </c:pt>
                <c:pt idx="228">
                  <c:v>22.800000000000054</c:v>
                </c:pt>
                <c:pt idx="229">
                  <c:v>22.900000000000055</c:v>
                </c:pt>
                <c:pt idx="230">
                  <c:v>23.000000000000057</c:v>
                </c:pt>
                <c:pt idx="231">
                  <c:v>23.100000000000058</c:v>
                </c:pt>
                <c:pt idx="232">
                  <c:v>23.20000000000006</c:v>
                </c:pt>
                <c:pt idx="233">
                  <c:v>23.300000000000061</c:v>
                </c:pt>
                <c:pt idx="234">
                  <c:v>23.400000000000063</c:v>
                </c:pt>
                <c:pt idx="235">
                  <c:v>23.500000000000064</c:v>
                </c:pt>
                <c:pt idx="236">
                  <c:v>23.600000000000065</c:v>
                </c:pt>
                <c:pt idx="237">
                  <c:v>23.700000000000067</c:v>
                </c:pt>
                <c:pt idx="238">
                  <c:v>23.800000000000068</c:v>
                </c:pt>
                <c:pt idx="239">
                  <c:v>23.90000000000007</c:v>
                </c:pt>
                <c:pt idx="240">
                  <c:v>24.000000000000071</c:v>
                </c:pt>
                <c:pt idx="241">
                  <c:v>24.100000000000072</c:v>
                </c:pt>
                <c:pt idx="242">
                  <c:v>24.200000000000074</c:v>
                </c:pt>
                <c:pt idx="243">
                  <c:v>24.300000000000075</c:v>
                </c:pt>
                <c:pt idx="244">
                  <c:v>24.400000000000077</c:v>
                </c:pt>
                <c:pt idx="245">
                  <c:v>24.500000000000078</c:v>
                </c:pt>
                <c:pt idx="246">
                  <c:v>24.60000000000008</c:v>
                </c:pt>
                <c:pt idx="247">
                  <c:v>24.700000000000081</c:v>
                </c:pt>
                <c:pt idx="248">
                  <c:v>24.800000000000082</c:v>
                </c:pt>
                <c:pt idx="249">
                  <c:v>24.900000000000084</c:v>
                </c:pt>
                <c:pt idx="250">
                  <c:v>25.000000000000085</c:v>
                </c:pt>
                <c:pt idx="251">
                  <c:v>25.100000000000087</c:v>
                </c:pt>
                <c:pt idx="252">
                  <c:v>25.200000000000088</c:v>
                </c:pt>
                <c:pt idx="253">
                  <c:v>25.30000000000009</c:v>
                </c:pt>
                <c:pt idx="254">
                  <c:v>25.400000000000091</c:v>
                </c:pt>
                <c:pt idx="255">
                  <c:v>25.500000000000092</c:v>
                </c:pt>
                <c:pt idx="256">
                  <c:v>25.600000000000094</c:v>
                </c:pt>
                <c:pt idx="257">
                  <c:v>25.700000000000095</c:v>
                </c:pt>
                <c:pt idx="258">
                  <c:v>25.800000000000097</c:v>
                </c:pt>
                <c:pt idx="259">
                  <c:v>25.900000000000098</c:v>
                </c:pt>
                <c:pt idx="260">
                  <c:v>26.000000000000099</c:v>
                </c:pt>
                <c:pt idx="261">
                  <c:v>26.100000000000101</c:v>
                </c:pt>
                <c:pt idx="262">
                  <c:v>26.200000000000102</c:v>
                </c:pt>
                <c:pt idx="263">
                  <c:v>26.300000000000104</c:v>
                </c:pt>
                <c:pt idx="264">
                  <c:v>26.400000000000105</c:v>
                </c:pt>
                <c:pt idx="265">
                  <c:v>26.500000000000107</c:v>
                </c:pt>
                <c:pt idx="266">
                  <c:v>26.600000000000108</c:v>
                </c:pt>
                <c:pt idx="267">
                  <c:v>26.700000000000109</c:v>
                </c:pt>
                <c:pt idx="268">
                  <c:v>26.800000000000111</c:v>
                </c:pt>
                <c:pt idx="269">
                  <c:v>26.900000000000112</c:v>
                </c:pt>
                <c:pt idx="270">
                  <c:v>27.000000000000114</c:v>
                </c:pt>
                <c:pt idx="271">
                  <c:v>27.100000000000115</c:v>
                </c:pt>
                <c:pt idx="272">
                  <c:v>27.200000000000117</c:v>
                </c:pt>
                <c:pt idx="273">
                  <c:v>27.300000000000118</c:v>
                </c:pt>
                <c:pt idx="274">
                  <c:v>27.400000000000119</c:v>
                </c:pt>
                <c:pt idx="275">
                  <c:v>27.500000000000121</c:v>
                </c:pt>
                <c:pt idx="276">
                  <c:v>27.600000000000122</c:v>
                </c:pt>
                <c:pt idx="277">
                  <c:v>27.700000000000124</c:v>
                </c:pt>
                <c:pt idx="278">
                  <c:v>27.800000000000125</c:v>
                </c:pt>
                <c:pt idx="279">
                  <c:v>27.900000000000126</c:v>
                </c:pt>
                <c:pt idx="280">
                  <c:v>28.000000000000128</c:v>
                </c:pt>
                <c:pt idx="281">
                  <c:v>28.100000000000129</c:v>
                </c:pt>
                <c:pt idx="282">
                  <c:v>28.200000000000131</c:v>
                </c:pt>
                <c:pt idx="283">
                  <c:v>28.300000000000132</c:v>
                </c:pt>
                <c:pt idx="284">
                  <c:v>28.400000000000134</c:v>
                </c:pt>
                <c:pt idx="285">
                  <c:v>28.500000000000135</c:v>
                </c:pt>
                <c:pt idx="286">
                  <c:v>28.600000000000136</c:v>
                </c:pt>
                <c:pt idx="287">
                  <c:v>28.700000000000138</c:v>
                </c:pt>
              </c:numCache>
            </c:numRef>
          </c:xVal>
          <c:yVal>
            <c:numRef>
              <c:f>'Poisson Likelihood Fn'!$H$13:$H$300</c:f>
              <c:numCache>
                <c:formatCode>General</c:formatCode>
                <c:ptCount val="288"/>
                <c:pt idx="0">
                  <c:v>2.0756245253022424E-227</c:v>
                </c:pt>
                <c:pt idx="1">
                  <c:v>1.2652403250949675E-105</c:v>
                </c:pt>
                <c:pt idx="2">
                  <c:v>1.7695201793306165E-87</c:v>
                </c:pt>
                <c:pt idx="3">
                  <c:v>5.9193644657174999E-77</c:v>
                </c:pt>
                <c:pt idx="4">
                  <c:v>1.5010348421028486E-69</c:v>
                </c:pt>
                <c:pt idx="5">
                  <c:v>7.4259894136288691E-64</c:v>
                </c:pt>
                <c:pt idx="6">
                  <c:v>3.0455314855728985E-59</c:v>
                </c:pt>
                <c:pt idx="7">
                  <c:v>2.2401134840804337E-55</c:v>
                </c:pt>
                <c:pt idx="8">
                  <c:v>4.6841580993679233E-52</c:v>
                </c:pt>
                <c:pt idx="9">
                  <c:v>3.7479015410123345E-49</c:v>
                </c:pt>
                <c:pt idx="10">
                  <c:v>1.4055550391524397E-46</c:v>
                </c:pt>
                <c:pt idx="11">
                  <c:v>2.8553175205024896E-44</c:v>
                </c:pt>
                <c:pt idx="12">
                  <c:v>3.4963055815756451E-42</c:v>
                </c:pt>
                <c:pt idx="13">
                  <c:v>2.7986631171150236E-40</c:v>
                </c:pt>
                <c:pt idx="14">
                  <c:v>1.5598005497721796E-38</c:v>
                </c:pt>
                <c:pt idx="15">
                  <c:v>6.3632422048031036E-37</c:v>
                </c:pt>
                <c:pt idx="16">
                  <c:v>1.9782599228952981E-35</c:v>
                </c:pt>
                <c:pt idx="17">
                  <c:v>4.8439692097390593E-34</c:v>
                </c:pt>
                <c:pt idx="18">
                  <c:v>9.6004754236314774E-33</c:v>
                </c:pt>
                <c:pt idx="19">
                  <c:v>1.5757682514351615E-31</c:v>
                </c:pt>
                <c:pt idx="20">
                  <c:v>2.1837613865861841E-30</c:v>
                </c:pt>
                <c:pt idx="21">
                  <c:v>2.5977968437737012E-29</c:v>
                </c:pt>
                <c:pt idx="22">
                  <c:v>2.6906951458566275E-28</c:v>
                </c:pt>
                <c:pt idx="23">
                  <c:v>2.4565845786619601E-27</c:v>
                </c:pt>
                <c:pt idx="24">
                  <c:v>1.9983530956117407E-26</c:v>
                </c:pt>
                <c:pt idx="25">
                  <c:v>1.4621090700822658E-25</c:v>
                </c:pt>
                <c:pt idx="26">
                  <c:v>9.7021107432521622E-25</c:v>
                </c:pt>
                <c:pt idx="27">
                  <c:v>5.8821266882468545E-24</c:v>
                </c:pt>
                <c:pt idx="28">
                  <c:v>3.2797250072340766E-23</c:v>
                </c:pt>
                <c:pt idx="29">
                  <c:v>1.6917187012002419E-22</c:v>
                </c:pt>
                <c:pt idx="30">
                  <c:v>8.1152064998945511E-22</c:v>
                </c:pt>
                <c:pt idx="31">
                  <c:v>3.637635004841133E-21</c:v>
                </c:pt>
                <c:pt idx="32">
                  <c:v>1.530231836022162E-20</c:v>
                </c:pt>
                <c:pt idx="33">
                  <c:v>6.0647324606357849E-20</c:v>
                </c:pt>
                <c:pt idx="34">
                  <c:v>2.2726262215098304E-19</c:v>
                </c:pt>
                <c:pt idx="35">
                  <c:v>8.0782546280081914E-19</c:v>
                </c:pt>
                <c:pt idx="36">
                  <c:v>2.7319461748846375E-18</c:v>
                </c:pt>
                <c:pt idx="37">
                  <c:v>8.8140907744755554E-18</c:v>
                </c:pt>
                <c:pt idx="38">
                  <c:v>2.7197219322220505E-17</c:v>
                </c:pt>
                <c:pt idx="39">
                  <c:v>8.0448675356267159E-17</c:v>
                </c:pt>
                <c:pt idx="40">
                  <c:v>2.2860730241334563E-16</c:v>
                </c:pt>
                <c:pt idx="41">
                  <c:v>6.2531471245364608E-16</c:v>
                </c:pt>
                <c:pt idx="42">
                  <c:v>1.6494640719432739E-15</c:v>
                </c:pt>
                <c:pt idx="43">
                  <c:v>4.2030513452878262E-15</c:v>
                </c:pt>
                <c:pt idx="44">
                  <c:v>1.0362270613432152E-14</c:v>
                </c:pt>
                <c:pt idx="45">
                  <c:v>2.4754705470716426E-14</c:v>
                </c:pt>
                <c:pt idx="46">
                  <c:v>5.7381898750831641E-14</c:v>
                </c:pt>
                <c:pt idx="47">
                  <c:v>1.2923176487515714E-13</c:v>
                </c:pt>
                <c:pt idx="48">
                  <c:v>2.8311845539428567E-13</c:v>
                </c:pt>
                <c:pt idx="49">
                  <c:v>6.040408932696574E-13</c:v>
                </c:pt>
                <c:pt idx="50">
                  <c:v>1.2564016062280467E-12</c:v>
                </c:pt>
                <c:pt idx="51">
                  <c:v>2.550302634145155E-12</c:v>
                </c:pt>
                <c:pt idx="52">
                  <c:v>5.0567059307041097E-12</c:v>
                </c:pt>
                <c:pt idx="53">
                  <c:v>9.8026735792717197E-12</c:v>
                </c:pt>
                <c:pt idx="54">
                  <c:v>1.859467550232625E-11</c:v>
                </c:pt>
                <c:pt idx="55">
                  <c:v>3.454188809309801E-11</c:v>
                </c:pt>
                <c:pt idx="56">
                  <c:v>6.2884616990417542E-11</c:v>
                </c:pt>
                <c:pt idx="57">
                  <c:v>1.122777569391995E-10</c:v>
                </c:pt>
                <c:pt idx="58">
                  <c:v>1.9673783965879568E-10</c:v>
                </c:pt>
                <c:pt idx="59">
                  <c:v>3.3853670280213412E-10</c:v>
                </c:pt>
                <c:pt idx="60">
                  <c:v>5.7241641888111999E-10</c:v>
                </c:pt>
                <c:pt idx="61">
                  <c:v>9.516089185746298E-10</c:v>
                </c:pt>
                <c:pt idx="62">
                  <c:v>1.5562679958616495E-9</c:v>
                </c:pt>
                <c:pt idx="63">
                  <c:v>2.5050569452240294E-9</c:v>
                </c:pt>
                <c:pt idx="64">
                  <c:v>3.9707748102215798E-9</c:v>
                </c:pt>
                <c:pt idx="65">
                  <c:v>6.201037524134532E-9</c:v>
                </c:pt>
                <c:pt idx="66">
                  <c:v>9.5451428272328401E-9</c:v>
                </c:pt>
                <c:pt idx="67">
                  <c:v>1.448832191660829E-8</c:v>
                </c:pt>
                <c:pt idx="68">
                  <c:v>2.1694595468203679E-8</c:v>
                </c:pt>
                <c:pt idx="69">
                  <c:v>3.2059384141994862E-8</c:v>
                </c:pt>
                <c:pt idx="70">
                  <c:v>4.6772850732051689E-8</c:v>
                </c:pt>
                <c:pt idx="71">
                  <c:v>6.7394651255319626E-8</c:v>
                </c:pt>
                <c:pt idx="72">
                  <c:v>9.5940328204083572E-8</c:v>
                </c:pt>
                <c:pt idx="73">
                  <c:v>1.3497898060194236E-7</c:v>
                </c:pt>
                <c:pt idx="74">
                  <c:v>1.8774109181731435E-7</c:v>
                </c:pt>
                <c:pt idx="75">
                  <c:v>2.5823449894041739E-7</c:v>
                </c:pt>
                <c:pt idx="76">
                  <c:v>3.513654726869813E-7</c:v>
                </c:pt>
                <c:pt idx="77">
                  <c:v>4.7306078516320103E-7</c:v>
                </c:pt>
                <c:pt idx="78">
                  <c:v>6.3038553030534781E-7</c:v>
                </c:pt>
                <c:pt idx="79">
                  <c:v>8.3165039775423845E-7</c:v>
                </c:pt>
                <c:pt idx="80">
                  <c:v>1.0865011651953923E-6</c:v>
                </c:pt>
                <c:pt idx="81">
                  <c:v>1.4059824527619504E-6</c:v>
                </c:pt>
                <c:pt idx="82">
                  <c:v>1.8025673624495093E-6</c:v>
                </c:pt>
                <c:pt idx="83">
                  <c:v>2.2901445861496665E-6</c:v>
                </c:pt>
                <c:pt idx="84">
                  <c:v>2.8839549755067015E-6</c:v>
                </c:pt>
                <c:pt idx="85">
                  <c:v>3.6004704732835994E-6</c:v>
                </c:pt>
                <c:pt idx="86">
                  <c:v>4.4572097314616788E-6</c:v>
                </c:pt>
                <c:pt idx="87">
                  <c:v>5.4724866774990061E-6</c:v>
                </c:pt>
                <c:pt idx="88">
                  <c:v>6.6650906951184463E-6</c:v>
                </c:pt>
                <c:pt idx="89">
                  <c:v>8.0538998835103244E-6</c:v>
                </c:pt>
                <c:pt idx="90">
                  <c:v>9.657431940216236E-6</c:v>
                </c:pt>
                <c:pt idx="91">
                  <c:v>1.1493340441245593E-5</c:v>
                </c:pt>
                <c:pt idx="92">
                  <c:v>1.3577867508548006E-5</c:v>
                </c:pt>
                <c:pt idx="93">
                  <c:v>1.5925266888157869E-5</c:v>
                </c:pt>
                <c:pt idx="94">
                  <c:v>1.8547214137484377E-5</c:v>
                </c:pt>
                <c:pt idx="95">
                  <c:v>2.1452222770512405E-5</c:v>
                </c:pt>
                <c:pt idx="96">
                  <c:v>2.464508668691546E-5</c:v>
                </c:pt>
                <c:pt idx="97">
                  <c:v>2.8126369895769042E-5</c:v>
                </c:pt>
                <c:pt idx="98">
                  <c:v>3.1891964354389715E-5</c:v>
                </c:pt>
                <c:pt idx="99">
                  <c:v>3.5932735639062037E-5</c:v>
                </c:pt>
                <c:pt idx="100">
                  <c:v>4.0234274155586181E-5</c:v>
                </c:pt>
                <c:pt idx="101">
                  <c:v>4.4776766740264236E-5</c:v>
                </c:pt>
                <c:pt idx="102">
                  <c:v>4.9534999898588397E-5</c:v>
                </c:pt>
                <c:pt idx="103">
                  <c:v>5.4478501722741074E-5</c:v>
                </c:pt>
                <c:pt idx="104">
                  <c:v>5.9571824896542792E-5</c:v>
                </c:pt>
                <c:pt idx="105">
                  <c:v>6.4774968337854319E-5</c:v>
                </c:pt>
                <c:pt idx="106">
                  <c:v>7.0043930156615203E-5</c:v>
                </c:pt>
                <c:pt idx="107">
                  <c:v>7.5331379935892928E-5</c:v>
                </c:pt>
                <c:pt idx="108">
                  <c:v>8.0587434077667426E-5</c:v>
                </c:pt>
                <c:pt idx="109">
                  <c:v>8.5760514277888049E-5</c:v>
                </c:pt>
                <c:pt idx="110">
                  <c:v>9.0798266260226439E-5</c:v>
                </c:pt>
                <c:pt idx="111">
                  <c:v>9.5648513821293215E-5</c:v>
                </c:pt>
                <c:pt idx="112">
                  <c:v>1.0026022209645946E-4</c:v>
                </c:pt>
                <c:pt idx="113">
                  <c:v>1.0458444377495121E-4</c:v>
                </c:pt>
                <c:pt idx="114">
                  <c:v>1.0857522276144263E-4</c:v>
                </c:pt>
                <c:pt idx="115">
                  <c:v>1.121904314430221E-4</c:v>
                </c:pt>
                <c:pt idx="116">
                  <c:v>1.1539252018191464E-4</c:v>
                </c:pt>
                <c:pt idx="117">
                  <c:v>1.1814916079149445E-4</c:v>
                </c:pt>
                <c:pt idx="118">
                  <c:v>1.2043376941807628E-4</c:v>
                </c:pt>
                <c:pt idx="119">
                  <c:v>1.2222589828075683E-4</c:v>
                </c:pt>
                <c:pt idx="120">
                  <c:v>1.2351148994619275E-4</c:v>
                </c:pt>
                <c:pt idx="121">
                  <c:v>1.2428299206627462E-4</c:v>
                </c:pt>
                <c:pt idx="122">
                  <c:v>1.2453933462460315E-4</c:v>
                </c:pt>
                <c:pt idx="123">
                  <c:v>1.2428577557864102E-4</c:v>
                </c:pt>
                <c:pt idx="124">
                  <c:v>1.2353362422518971E-4</c:v>
                </c:pt>
                <c:pt idx="125">
                  <c:v>1.2229985455902503E-4</c:v>
                </c:pt>
                <c:pt idx="126">
                  <c:v>1.2060662326665072E-4</c:v>
                </c:pt>
                <c:pt idx="127">
                  <c:v>1.1848070875560952E-4</c:v>
                </c:pt>
                <c:pt idx="128">
                  <c:v>1.1595288874846157E-4</c:v>
                </c:pt>
                <c:pt idx="129">
                  <c:v>1.1305727447870739E-4</c:v>
                </c:pt>
                <c:pt idx="130">
                  <c:v>1.0983061944596589E-4</c:v>
                </c:pt>
                <c:pt idx="131">
                  <c:v>1.0631162007117273E-4</c:v>
                </c:pt>
                <c:pt idx="132">
                  <c:v>1.0254022450647822E-4</c:v>
                </c:pt>
                <c:pt idx="133">
                  <c:v>9.8556964376966355E-5</c:v>
                </c:pt>
                <c:pt idx="134">
                  <c:v>9.4402322447112598E-5</c:v>
                </c:pt>
                <c:pt idx="135">
                  <c:v>9.011614720158957E-5</c:v>
                </c:pt>
                <c:pt idx="136">
                  <c:v>8.573712319402884E-5</c:v>
                </c:pt>
                <c:pt idx="137">
                  <c:v>8.130230383066717E-5</c:v>
                </c:pt>
                <c:pt idx="138">
                  <c:v>7.6846711093424787E-5</c:v>
                </c:pt>
                <c:pt idx="139">
                  <c:v>7.2403004634670541E-5</c:v>
                </c:pt>
                <c:pt idx="140">
                  <c:v>6.8001220748907951E-5</c:v>
                </c:pt>
                <c:pt idx="141">
                  <c:v>6.3668579988699931E-5</c:v>
                </c:pt>
                <c:pt idx="142">
                  <c:v>5.9429360675441583E-5</c:v>
                </c:pt>
                <c:pt idx="143">
                  <c:v>5.530483428088202E-5</c:v>
                </c:pt>
                <c:pt idx="144">
                  <c:v>5.1313257632635252E-5</c:v>
                </c:pt>
                <c:pt idx="145">
                  <c:v>4.7469916126710079E-5</c:v>
                </c:pt>
                <c:pt idx="146">
                  <c:v>4.3787211604308572E-5</c:v>
                </c:pt>
                <c:pt idx="147">
                  <c:v>4.0274788253822384E-5</c:v>
                </c:pt>
                <c:pt idx="148">
                  <c:v>3.6939689811584759E-5</c:v>
                </c:pt>
                <c:pt idx="149">
                  <c:v>3.3786541432073686E-5</c:v>
                </c:pt>
                <c:pt idx="150">
                  <c:v>3.0817749852824906E-5</c:v>
                </c:pt>
                <c:pt idx="151">
                  <c:v>2.8033715863022476E-5</c:v>
                </c:pt>
                <c:pt idx="152">
                  <c:v>2.5433053569166835E-5</c:v>
                </c:pt>
                <c:pt idx="153">
                  <c:v>2.3012811508895705E-5</c:v>
                </c:pt>
                <c:pt idx="154">
                  <c:v>2.0768691269128861E-5</c:v>
                </c:pt>
                <c:pt idx="155">
                  <c:v>1.8695259893755449E-5</c:v>
                </c:pt>
                <c:pt idx="156">
                  <c:v>1.6786152998345555E-5</c:v>
                </c:pt>
                <c:pt idx="157">
                  <c:v>1.503426612713891E-5</c:v>
                </c:pt>
                <c:pt idx="158">
                  <c:v>1.3431932476256394E-5</c:v>
                </c:pt>
                <c:pt idx="159">
                  <c:v>1.1971085655231339E-5</c:v>
                </c:pt>
                <c:pt idx="160">
                  <c:v>1.0643406658086174E-5</c:v>
                </c:pt>
                <c:pt idx="161">
                  <c:v>9.4404546595875017E-6</c:v>
                </c:pt>
                <c:pt idx="162">
                  <c:v>8.3537816387982075E-6</c:v>
                </c:pt>
                <c:pt idx="163">
                  <c:v>7.3750311596168913E-6</c:v>
                </c:pt>
                <c:pt idx="164">
                  <c:v>6.4960219074980046E-6</c:v>
                </c:pt>
                <c:pt idx="165">
                  <c:v>5.7088167953666521E-6</c:v>
                </c:pt>
                <c:pt idx="166">
                  <c:v>5.0057786134281631E-6</c:v>
                </c:pt>
                <c:pt idx="167">
                  <c:v>4.3796133115612043E-6</c:v>
                </c:pt>
                <c:pt idx="168">
                  <c:v>3.823402074284001E-6</c:v>
                </c:pt>
                <c:pt idx="169">
                  <c:v>3.3306233822353009E-6</c:v>
                </c:pt>
                <c:pt idx="170">
                  <c:v>2.8951662561653135E-6</c:v>
                </c:pt>
                <c:pt idx="171">
                  <c:v>2.5113358549587602E-6</c:v>
                </c:pt>
                <c:pt idx="172">
                  <c:v>2.1738525533609125E-6</c:v>
                </c:pt>
                <c:pt idx="173">
                  <c:v>1.8778455626646853E-6</c:v>
                </c:pt>
                <c:pt idx="174">
                  <c:v>1.6188420830400494E-6</c:v>
                </c:pt>
                <c:pt idx="175">
                  <c:v>1.3927528933754075E-6</c:v>
                </c:pt>
                <c:pt idx="176">
                  <c:v>1.1958551968904942E-6</c:v>
                </c:pt>
                <c:pt idx="177">
                  <c:v>1.0247734513016412E-6</c:v>
                </c:pt>
                <c:pt idx="178">
                  <c:v>8.7645882341381712E-7</c:v>
                </c:pt>
                <c:pt idx="179">
                  <c:v>7.4816782165100797E-7</c:v>
                </c:pt>
                <c:pt idx="180">
                  <c:v>6.3744057775421841E-7</c:v>
                </c:pt>
                <c:pt idx="181">
                  <c:v>5.4207917181682712E-7</c:v>
                </c:pt>
                <c:pt idx="182">
                  <c:v>4.6012632378369059E-7</c:v>
                </c:pt>
                <c:pt idx="183">
                  <c:v>3.8984471000157049E-7</c:v>
                </c:pt>
                <c:pt idx="184">
                  <c:v>3.2969710560601028E-7</c:v>
                </c:pt>
                <c:pt idx="185">
                  <c:v>2.7832750248209126E-7</c:v>
                </c:pt>
                <c:pt idx="186">
                  <c:v>2.3454330809081587E-7</c:v>
                </c:pt>
                <c:pt idx="187">
                  <c:v>1.9729869232372119E-7</c:v>
                </c:pt>
                <c:pt idx="188">
                  <c:v>1.6567911735191322E-7</c:v>
                </c:pt>
                <c:pt idx="189">
                  <c:v>1.3888705872003091E-7</c:v>
                </c:pt>
                <c:pt idx="190">
                  <c:v>1.1622890420655323E-7</c:v>
                </c:pt>
                <c:pt idx="191">
                  <c:v>9.7102999714539977E-8</c:v>
                </c:pt>
                <c:pt idx="192">
                  <c:v>8.0988798154015226E-8</c:v>
                </c:pt>
                <c:pt idx="193">
                  <c:v>6.7437057422560126E-8</c:v>
                </c:pt>
                <c:pt idx="194">
                  <c:v>5.6061026700410091E-8</c:v>
                </c:pt>
                <c:pt idx="195">
                  <c:v>4.6528555896453329E-8</c:v>
                </c:pt>
                <c:pt idx="196">
                  <c:v>3.8555060793415897E-8</c:v>
                </c:pt>
                <c:pt idx="197">
                  <c:v>3.1897275864163741E-8</c:v>
                </c:pt>
                <c:pt idx="198">
                  <c:v>2.6347727526400054E-8</c:v>
                </c:pt>
                <c:pt idx="199">
                  <c:v>2.1729862470070429E-8</c:v>
                </c:pt>
                <c:pt idx="200">
                  <c:v>1.7893768369469548E-8</c:v>
                </c:pt>
                <c:pt idx="201">
                  <c:v>1.4712427556365919E-8</c:v>
                </c:pt>
                <c:pt idx="202">
                  <c:v>1.2078447892032925E-8</c:v>
                </c:pt>
                <c:pt idx="203">
                  <c:v>9.9012189771746946E-9</c:v>
                </c:pt>
                <c:pt idx="204">
                  <c:v>8.1044458503403021E-9</c:v>
                </c:pt>
                <c:pt idx="205">
                  <c:v>6.624016343940254E-9</c:v>
                </c:pt>
                <c:pt idx="206">
                  <c:v>5.4061622112447935E-9</c:v>
                </c:pt>
                <c:pt idx="207">
                  <c:v>4.4058779459148377E-9</c:v>
                </c:pt>
                <c:pt idx="208">
                  <c:v>3.5855648424147712E-9</c:v>
                </c:pt>
                <c:pt idx="209">
                  <c:v>2.9138712597006142E-9</c:v>
                </c:pt>
                <c:pt idx="210">
                  <c:v>2.3647032320301813E-9</c:v>
                </c:pt>
                <c:pt idx="211">
                  <c:v>1.9163825091593225E-9</c:v>
                </c:pt>
                <c:pt idx="212">
                  <c:v>1.5509318006446019E-9</c:v>
                </c:pt>
                <c:pt idx="213">
                  <c:v>1.2534694484131947E-9</c:v>
                </c:pt>
                <c:pt idx="214">
                  <c:v>1.0116979655972834E-9</c:v>
                </c:pt>
                <c:pt idx="215">
                  <c:v>8.1547286854433277E-10</c:v>
                </c:pt>
                <c:pt idx="216">
                  <c:v>6.5644000585809637E-10</c:v>
                </c:pt>
                <c:pt idx="217">
                  <c:v>5.2773116770445369E-10</c:v>
                </c:pt>
                <c:pt idx="218">
                  <c:v>4.2370915562177149E-10</c:v>
                </c:pt>
                <c:pt idx="219">
                  <c:v>3.3975472316146018E-10</c:v>
                </c:pt>
                <c:pt idx="220">
                  <c:v>2.7208887615525326E-10</c:v>
                </c:pt>
                <c:pt idx="221">
                  <c:v>2.1762496311168455E-10</c:v>
                </c:pt>
                <c:pt idx="222">
                  <c:v>1.7384580535548196E-10</c:v>
                </c:pt>
                <c:pt idx="223">
                  <c:v>1.3870182637864891E-10</c:v>
                </c:pt>
                <c:pt idx="224">
                  <c:v>1.1052675287922374E-10</c:v>
                </c:pt>
                <c:pt idx="225">
                  <c:v>8.7967987551487327E-11</c:v>
                </c:pt>
                <c:pt idx="226">
                  <c:v>6.9929206291663604E-11</c:v>
                </c:pt>
                <c:pt idx="227">
                  <c:v>5.5523119543704799E-11</c:v>
                </c:pt>
                <c:pt idx="228">
                  <c:v>4.4032667526276963E-11</c:v>
                </c:pt>
                <c:pt idx="229">
                  <c:v>3.4879199644652072E-11</c:v>
                </c:pt>
                <c:pt idx="230">
                  <c:v>2.7596426240963621E-11</c:v>
                </c:pt>
                <c:pt idx="231">
                  <c:v>2.1809131927307248E-11</c:v>
                </c:pt>
                <c:pt idx="232">
                  <c:v>1.7215809310904949E-11</c:v>
                </c:pt>
                <c:pt idx="233">
                  <c:v>1.3574514535309841E-11</c:v>
                </c:pt>
                <c:pt idx="234">
                  <c:v>1.0691365711044128E-11</c:v>
                </c:pt>
                <c:pt idx="235">
                  <c:v>8.4112054480367331E-12</c:v>
                </c:pt>
                <c:pt idx="236">
                  <c:v>6.6100323143856163E-12</c:v>
                </c:pt>
                <c:pt idx="237">
                  <c:v>5.1888756982607226E-12</c:v>
                </c:pt>
                <c:pt idx="238">
                  <c:v>4.0688464426694284E-12</c:v>
                </c:pt>
                <c:pt idx="239">
                  <c:v>3.1871436361900918E-12</c:v>
                </c:pt>
                <c:pt idx="240">
                  <c:v>2.493837677319341E-12</c:v>
                </c:pt>
                <c:pt idx="241">
                  <c:v>1.9492825444110668E-12</c:v>
                </c:pt>
                <c:pt idx="242">
                  <c:v>1.5220372470219037E-12</c:v>
                </c:pt>
                <c:pt idx="243">
                  <c:v>1.187198677868061E-12</c:v>
                </c:pt>
                <c:pt idx="244">
                  <c:v>9.250663437086621E-13</c:v>
                </c:pt>
                <c:pt idx="245">
                  <c:v>7.2007441311029249E-13</c:v>
                </c:pt>
                <c:pt idx="246">
                  <c:v>5.5993875230148184E-13</c:v>
                </c:pt>
                <c:pt idx="247">
                  <c:v>4.3497660554668614E-13</c:v>
                </c:pt>
                <c:pt idx="248">
                  <c:v>3.3756471195108672E-13</c:v>
                </c:pt>
                <c:pt idx="249">
                  <c:v>2.6170826717979159E-13</c:v>
                </c:pt>
                <c:pt idx="250">
                  <c:v>2.0269851038800066E-13</c:v>
                </c:pt>
                <c:pt idx="251">
                  <c:v>1.5684107037361537E-13</c:v>
                </c:pt>
                <c:pt idx="252">
                  <c:v>1.2124072756228453E-13</c:v>
                </c:pt>
                <c:pt idx="253">
                  <c:v>9.3631093830561809E-14</c:v>
                </c:pt>
                <c:pt idx="254">
                  <c:v>7.2240006790949281E-14</c:v>
                </c:pt>
                <c:pt idx="255">
                  <c:v>5.5683282634389392E-14</c:v>
                </c:pt>
                <c:pt idx="256">
                  <c:v>4.2880956726683906E-14</c:v>
                </c:pt>
                <c:pt idx="257">
                  <c:v>3.2991333098442893E-14</c:v>
                </c:pt>
                <c:pt idx="258">
                  <c:v>2.5359119151750887E-14</c:v>
                </c:pt>
                <c:pt idx="259">
                  <c:v>1.9474686199873533E-14</c:v>
                </c:pt>
                <c:pt idx="260">
                  <c:v>1.4942107095330003E-14</c:v>
                </c:pt>
                <c:pt idx="261">
                  <c:v>1.145410935983186E-14</c:v>
                </c:pt>
                <c:pt idx="262">
                  <c:v>8.772470313340203E-15</c:v>
                </c:pt>
                <c:pt idx="263">
                  <c:v>6.7126894159437403E-15</c:v>
                </c:pt>
                <c:pt idx="264">
                  <c:v>5.1320182707491872E-15</c:v>
                </c:pt>
                <c:pt idx="265">
                  <c:v>3.9201232715930341E-15</c:v>
                </c:pt>
                <c:pt idx="266">
                  <c:v>2.9918099857736903E-15</c:v>
                </c:pt>
                <c:pt idx="267">
                  <c:v>2.281360276122841E-15</c:v>
                </c:pt>
                <c:pt idx="268">
                  <c:v>1.7381294846107206E-15</c:v>
                </c:pt>
                <c:pt idx="269">
                  <c:v>1.3231269949941707E-15</c:v>
                </c:pt>
                <c:pt idx="270">
                  <c:v>1.0063633746708756E-15</c:v>
                </c:pt>
                <c:pt idx="271">
                  <c:v>7.6479442148501768E-16</c:v>
                </c:pt>
                <c:pt idx="272">
                  <c:v>5.8072948035733276E-16</c:v>
                </c:pt>
                <c:pt idx="273">
                  <c:v>4.4060046962685944E-16</c:v>
                </c:pt>
                <c:pt idx="274">
                  <c:v>3.3401085205707099E-16</c:v>
                </c:pt>
                <c:pt idx="275">
                  <c:v>2.5300163511866704E-16</c:v>
                </c:pt>
                <c:pt idx="276">
                  <c:v>1.9148544542152409E-16</c:v>
                </c:pt>
                <c:pt idx="277">
                  <c:v>1.4481062747069894E-16</c:v>
                </c:pt>
                <c:pt idx="278">
                  <c:v>1.0942582572605935E-16</c:v>
                </c:pt>
                <c:pt idx="279">
                  <c:v>8.2622140141846863E-17</c:v>
                </c:pt>
                <c:pt idx="280">
                  <c:v>6.2335107309338678E-17</c:v>
                </c:pt>
                <c:pt idx="281">
                  <c:v>4.6992772971544367E-17</c:v>
                </c:pt>
                <c:pt idx="282">
                  <c:v>3.5399238945371715E-17</c:v>
                </c:pt>
                <c:pt idx="283">
                  <c:v>2.6645485861459961E-17</c:v>
                </c:pt>
                <c:pt idx="284">
                  <c:v>2.0041147234305584E-17</c:v>
                </c:pt>
                <c:pt idx="285">
                  <c:v>1.5062361110866924E-17</c:v>
                </c:pt>
                <c:pt idx="286">
                  <c:v>1.1311947340750778E-17</c:v>
                </c:pt>
                <c:pt idx="287">
                  <c:v>8.4890250217584002E-18</c:v>
                </c:pt>
              </c:numCache>
            </c:numRef>
          </c:yVal>
          <c:smooth val="1"/>
        </c:ser>
        <c:dLbls>
          <c:showLegendKey val="0"/>
          <c:showVal val="0"/>
          <c:showCatName val="0"/>
          <c:showSerName val="0"/>
          <c:showPercent val="0"/>
          <c:showBubbleSize val="0"/>
        </c:dLbls>
        <c:axId val="359250128"/>
        <c:axId val="359255224"/>
      </c:scatterChart>
      <c:valAx>
        <c:axId val="359250128"/>
        <c:scaling>
          <c:orientation val="minMax"/>
          <c:max val="30"/>
        </c:scaling>
        <c:delete val="0"/>
        <c:axPos val="b"/>
        <c:title>
          <c:tx>
            <c:rich>
              <a:bodyPr/>
              <a:lstStyle/>
              <a:p>
                <a:pPr>
                  <a:defRPr sz="1000" b="1" i="0" u="none" strike="noStrike" baseline="0">
                    <a:solidFill>
                      <a:srgbClr val="000000"/>
                    </a:solidFill>
                    <a:latin typeface="Arial"/>
                    <a:ea typeface="Arial"/>
                    <a:cs typeface="Arial"/>
                  </a:defRPr>
                </a:pPr>
                <a:r>
                  <a:rPr lang="en-US"/>
                  <a:t> lambda</a:t>
                </a:r>
              </a:p>
            </c:rich>
          </c:tx>
          <c:layout>
            <c:manualLayout>
              <c:xMode val="edge"/>
              <c:yMode val="edge"/>
              <c:x val="0.41593908634853388"/>
              <c:y val="0.90419470110701838"/>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en-US"/>
          </a:p>
        </c:txPr>
        <c:crossAx val="359255224"/>
        <c:crosses val="autoZero"/>
        <c:crossBetween val="midCat"/>
        <c:majorUnit val="2"/>
      </c:valAx>
      <c:valAx>
        <c:axId val="359255224"/>
        <c:scaling>
          <c:orientation val="minMax"/>
          <c:min val="0"/>
        </c:scaling>
        <c:delete val="0"/>
        <c:axPos val="l"/>
        <c:majorGridlines>
          <c:spPr>
            <a:ln w="3175">
              <a:solidFill>
                <a:srgbClr val="000000"/>
              </a:solidFill>
              <a:prstDash val="solid"/>
            </a:ln>
          </c:spPr>
        </c:majorGridlines>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en-US"/>
          </a:p>
        </c:txPr>
        <c:crossAx val="359250128"/>
        <c:crosses val="autoZero"/>
        <c:crossBetween val="midCat"/>
      </c:valAx>
      <c:spPr>
        <a:solidFill>
          <a:srgbClr val="C0C0C0"/>
        </a:solidFill>
        <a:ln w="12700">
          <a:solidFill>
            <a:srgbClr val="808080"/>
          </a:solidFill>
          <a:prstDash val="solid"/>
        </a:ln>
      </c:spPr>
    </c:plotArea>
    <c:legend>
      <c:legendPos val="r"/>
      <c:layout>
        <c:manualLayout>
          <c:xMode val="edge"/>
          <c:yMode val="edge"/>
          <c:x val="0.8296947654196476"/>
          <c:y val="0.46906347629172024"/>
          <c:w val="0.15938873125166914"/>
          <c:h val="5.1896384610998852E-2"/>
        </c:manualLayout>
      </c:layout>
      <c:overlay val="0"/>
      <c:spPr>
        <a:solidFill>
          <a:srgbClr val="FFFFFF"/>
        </a:solidFill>
        <a:ln w="3175">
          <a:solidFill>
            <a:srgbClr val="000000"/>
          </a:solidFill>
          <a:prstDash val="solid"/>
        </a:ln>
      </c:spPr>
      <c:txPr>
        <a:bodyPr/>
        <a:lstStyle/>
        <a:p>
          <a:pPr>
            <a:defRPr sz="920" b="0"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userShapes r:id="rId1"/>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Arial"/>
                <a:ea typeface="Arial"/>
                <a:cs typeface="Arial"/>
              </a:defRPr>
            </a:pPr>
            <a:r>
              <a:rPr lang="en-US"/>
              <a:t>Log Likelihood Fn</a:t>
            </a:r>
          </a:p>
        </c:rich>
      </c:tx>
      <c:layout>
        <c:manualLayout>
          <c:xMode val="edge"/>
          <c:yMode val="edge"/>
          <c:x val="0.42748125746632948"/>
          <c:y val="3.3797241306002833E-2"/>
        </c:manualLayout>
      </c:layout>
      <c:overlay val="0"/>
      <c:spPr>
        <a:noFill/>
        <a:ln w="25400">
          <a:noFill/>
        </a:ln>
      </c:spPr>
    </c:title>
    <c:autoTitleDeleted val="0"/>
    <c:plotArea>
      <c:layout>
        <c:manualLayout>
          <c:layoutTarget val="inner"/>
          <c:xMode val="edge"/>
          <c:yMode val="edge"/>
          <c:x val="7.306439859756142E-2"/>
          <c:y val="0.16501006049401382"/>
          <c:w val="0.69465704338278544"/>
          <c:h val="0.7097420674260595"/>
        </c:manualLayout>
      </c:layout>
      <c:scatterChart>
        <c:scatterStyle val="smoothMarker"/>
        <c:varyColors val="0"/>
        <c:ser>
          <c:idx val="0"/>
          <c:order val="0"/>
          <c:tx>
            <c:v>Log Likelihood Fn</c:v>
          </c:tx>
          <c:spPr>
            <a:ln w="12700">
              <a:solidFill>
                <a:srgbClr val="000080"/>
              </a:solidFill>
              <a:prstDash val="solid"/>
            </a:ln>
          </c:spPr>
          <c:marker>
            <c:symbol val="diamond"/>
            <c:size val="5"/>
            <c:spPr>
              <a:solidFill>
                <a:srgbClr val="000080"/>
              </a:solidFill>
              <a:ln>
                <a:solidFill>
                  <a:srgbClr val="000080"/>
                </a:solidFill>
                <a:prstDash val="solid"/>
              </a:ln>
            </c:spPr>
          </c:marker>
          <c:xVal>
            <c:numRef>
              <c:f>'Poisson Likelihood Fn'!$A$13:$A$300</c:f>
              <c:numCache>
                <c:formatCode>General</c:formatCode>
                <c:ptCount val="288"/>
                <c:pt idx="0">
                  <c:v>1E-3</c:v>
                </c:pt>
                <c:pt idx="1">
                  <c:v>0.1</c:v>
                </c:pt>
                <c:pt idx="2">
                  <c:v>0.2</c:v>
                </c:pt>
                <c:pt idx="3">
                  <c:v>0.30000000000000004</c:v>
                </c:pt>
                <c:pt idx="4">
                  <c:v>0.4</c:v>
                </c:pt>
                <c:pt idx="5">
                  <c:v>0.5</c:v>
                </c:pt>
                <c:pt idx="6">
                  <c:v>0.6</c:v>
                </c:pt>
                <c:pt idx="7">
                  <c:v>0.7</c:v>
                </c:pt>
                <c:pt idx="8">
                  <c:v>0.79999999999999993</c:v>
                </c:pt>
                <c:pt idx="9">
                  <c:v>0.89999999999999991</c:v>
                </c:pt>
                <c:pt idx="10">
                  <c:v>0.99999999999999989</c:v>
                </c:pt>
                <c:pt idx="11">
                  <c:v>1.0999999999999999</c:v>
                </c:pt>
                <c:pt idx="12">
                  <c:v>1.2</c:v>
                </c:pt>
                <c:pt idx="13">
                  <c:v>1.3</c:v>
                </c:pt>
                <c:pt idx="14">
                  <c:v>1.4000000000000001</c:v>
                </c:pt>
                <c:pt idx="15">
                  <c:v>1.5000000000000002</c:v>
                </c:pt>
                <c:pt idx="16">
                  <c:v>1.6000000000000003</c:v>
                </c:pt>
                <c:pt idx="17">
                  <c:v>1.7000000000000004</c:v>
                </c:pt>
                <c:pt idx="18">
                  <c:v>1.8000000000000005</c:v>
                </c:pt>
                <c:pt idx="19">
                  <c:v>1.9000000000000006</c:v>
                </c:pt>
                <c:pt idx="20">
                  <c:v>2.0000000000000004</c:v>
                </c:pt>
                <c:pt idx="21">
                  <c:v>2.1000000000000005</c:v>
                </c:pt>
                <c:pt idx="22">
                  <c:v>2.2000000000000006</c:v>
                </c:pt>
                <c:pt idx="23">
                  <c:v>2.3000000000000007</c:v>
                </c:pt>
                <c:pt idx="24">
                  <c:v>2.4000000000000008</c:v>
                </c:pt>
                <c:pt idx="25">
                  <c:v>2.5000000000000009</c:v>
                </c:pt>
                <c:pt idx="26">
                  <c:v>2.600000000000001</c:v>
                </c:pt>
                <c:pt idx="27">
                  <c:v>2.7000000000000011</c:v>
                </c:pt>
                <c:pt idx="28">
                  <c:v>2.8000000000000012</c:v>
                </c:pt>
                <c:pt idx="29">
                  <c:v>2.9000000000000012</c:v>
                </c:pt>
                <c:pt idx="30">
                  <c:v>3.0000000000000013</c:v>
                </c:pt>
                <c:pt idx="31">
                  <c:v>3.1000000000000014</c:v>
                </c:pt>
                <c:pt idx="32">
                  <c:v>3.2000000000000015</c:v>
                </c:pt>
                <c:pt idx="33">
                  <c:v>3.3000000000000016</c:v>
                </c:pt>
                <c:pt idx="34">
                  <c:v>3.4000000000000017</c:v>
                </c:pt>
                <c:pt idx="35">
                  <c:v>3.5000000000000018</c:v>
                </c:pt>
                <c:pt idx="36">
                  <c:v>3.6000000000000019</c:v>
                </c:pt>
                <c:pt idx="37">
                  <c:v>3.700000000000002</c:v>
                </c:pt>
                <c:pt idx="38">
                  <c:v>3.800000000000002</c:v>
                </c:pt>
                <c:pt idx="39">
                  <c:v>3.9000000000000021</c:v>
                </c:pt>
                <c:pt idx="40">
                  <c:v>4.0000000000000018</c:v>
                </c:pt>
                <c:pt idx="41">
                  <c:v>4.1000000000000014</c:v>
                </c:pt>
                <c:pt idx="42">
                  <c:v>4.2000000000000011</c:v>
                </c:pt>
                <c:pt idx="43">
                  <c:v>4.3000000000000007</c:v>
                </c:pt>
                <c:pt idx="44">
                  <c:v>4.4000000000000004</c:v>
                </c:pt>
                <c:pt idx="45">
                  <c:v>4.5</c:v>
                </c:pt>
                <c:pt idx="46">
                  <c:v>4.5999999999999996</c:v>
                </c:pt>
                <c:pt idx="47">
                  <c:v>4.6999999999999993</c:v>
                </c:pt>
                <c:pt idx="48">
                  <c:v>4.7999999999999989</c:v>
                </c:pt>
                <c:pt idx="49">
                  <c:v>4.8999999999999986</c:v>
                </c:pt>
                <c:pt idx="50">
                  <c:v>4.9999999999999982</c:v>
                </c:pt>
                <c:pt idx="51">
                  <c:v>5.0999999999999979</c:v>
                </c:pt>
                <c:pt idx="52">
                  <c:v>5.1999999999999975</c:v>
                </c:pt>
                <c:pt idx="53">
                  <c:v>5.2999999999999972</c:v>
                </c:pt>
                <c:pt idx="54">
                  <c:v>5.3999999999999968</c:v>
                </c:pt>
                <c:pt idx="55">
                  <c:v>5.4999999999999964</c:v>
                </c:pt>
                <c:pt idx="56">
                  <c:v>5.5999999999999961</c:v>
                </c:pt>
                <c:pt idx="57">
                  <c:v>5.6999999999999957</c:v>
                </c:pt>
                <c:pt idx="58">
                  <c:v>5.7999999999999954</c:v>
                </c:pt>
                <c:pt idx="59">
                  <c:v>5.899999999999995</c:v>
                </c:pt>
                <c:pt idx="60">
                  <c:v>5.9999999999999947</c:v>
                </c:pt>
                <c:pt idx="61">
                  <c:v>6.0999999999999943</c:v>
                </c:pt>
                <c:pt idx="62">
                  <c:v>6.199999999999994</c:v>
                </c:pt>
                <c:pt idx="63">
                  <c:v>6.2999999999999936</c:v>
                </c:pt>
                <c:pt idx="64">
                  <c:v>6.3999999999999932</c:v>
                </c:pt>
                <c:pt idx="65">
                  <c:v>6.4999999999999929</c:v>
                </c:pt>
                <c:pt idx="66">
                  <c:v>6.5999999999999925</c:v>
                </c:pt>
                <c:pt idx="67">
                  <c:v>6.6999999999999922</c:v>
                </c:pt>
                <c:pt idx="68">
                  <c:v>6.7999999999999918</c:v>
                </c:pt>
                <c:pt idx="69">
                  <c:v>6.8999999999999915</c:v>
                </c:pt>
                <c:pt idx="70">
                  <c:v>6.9999999999999911</c:v>
                </c:pt>
                <c:pt idx="71">
                  <c:v>7.0999999999999908</c:v>
                </c:pt>
                <c:pt idx="72">
                  <c:v>7.1999999999999904</c:v>
                </c:pt>
                <c:pt idx="73">
                  <c:v>7.2999999999999901</c:v>
                </c:pt>
                <c:pt idx="74">
                  <c:v>7.3999999999999897</c:v>
                </c:pt>
                <c:pt idx="75">
                  <c:v>7.4999999999999893</c:v>
                </c:pt>
                <c:pt idx="76">
                  <c:v>7.599999999999989</c:v>
                </c:pt>
                <c:pt idx="77">
                  <c:v>7.6999999999999886</c:v>
                </c:pt>
                <c:pt idx="78">
                  <c:v>7.7999999999999883</c:v>
                </c:pt>
                <c:pt idx="79">
                  <c:v>7.8999999999999879</c:v>
                </c:pt>
                <c:pt idx="80">
                  <c:v>7.9999999999999876</c:v>
                </c:pt>
                <c:pt idx="81">
                  <c:v>8.0999999999999872</c:v>
                </c:pt>
                <c:pt idx="82">
                  <c:v>8.1999999999999869</c:v>
                </c:pt>
                <c:pt idx="83">
                  <c:v>8.2999999999999865</c:v>
                </c:pt>
                <c:pt idx="84">
                  <c:v>8.3999999999999861</c:v>
                </c:pt>
                <c:pt idx="85">
                  <c:v>8.4999999999999858</c:v>
                </c:pt>
                <c:pt idx="86">
                  <c:v>8.5999999999999854</c:v>
                </c:pt>
                <c:pt idx="87">
                  <c:v>8.6999999999999851</c:v>
                </c:pt>
                <c:pt idx="88">
                  <c:v>8.7999999999999847</c:v>
                </c:pt>
                <c:pt idx="89">
                  <c:v>8.8999999999999844</c:v>
                </c:pt>
                <c:pt idx="90">
                  <c:v>8.999999999999984</c:v>
                </c:pt>
                <c:pt idx="91">
                  <c:v>9.0999999999999837</c:v>
                </c:pt>
                <c:pt idx="92">
                  <c:v>9.1999999999999833</c:v>
                </c:pt>
                <c:pt idx="93">
                  <c:v>9.2999999999999829</c:v>
                </c:pt>
                <c:pt idx="94">
                  <c:v>9.3999999999999826</c:v>
                </c:pt>
                <c:pt idx="95">
                  <c:v>9.4999999999999822</c:v>
                </c:pt>
                <c:pt idx="96">
                  <c:v>9.5999999999999819</c:v>
                </c:pt>
                <c:pt idx="97">
                  <c:v>9.6999999999999815</c:v>
                </c:pt>
                <c:pt idx="98">
                  <c:v>9.7999999999999812</c:v>
                </c:pt>
                <c:pt idx="99">
                  <c:v>9.8999999999999808</c:v>
                </c:pt>
                <c:pt idx="100">
                  <c:v>9.9999999999999805</c:v>
                </c:pt>
                <c:pt idx="101">
                  <c:v>10.09999999999998</c:v>
                </c:pt>
                <c:pt idx="102">
                  <c:v>10.19999999999998</c:v>
                </c:pt>
                <c:pt idx="103">
                  <c:v>10.299999999999979</c:v>
                </c:pt>
                <c:pt idx="104">
                  <c:v>10.399999999999979</c:v>
                </c:pt>
                <c:pt idx="105">
                  <c:v>10.499999999999979</c:v>
                </c:pt>
                <c:pt idx="106">
                  <c:v>10.599999999999978</c:v>
                </c:pt>
                <c:pt idx="107">
                  <c:v>10.699999999999978</c:v>
                </c:pt>
                <c:pt idx="108">
                  <c:v>10.799999999999978</c:v>
                </c:pt>
                <c:pt idx="109">
                  <c:v>10.899999999999977</c:v>
                </c:pt>
                <c:pt idx="110">
                  <c:v>10.999999999999977</c:v>
                </c:pt>
                <c:pt idx="111">
                  <c:v>11.099999999999977</c:v>
                </c:pt>
                <c:pt idx="112">
                  <c:v>11.199999999999976</c:v>
                </c:pt>
                <c:pt idx="113">
                  <c:v>11.299999999999976</c:v>
                </c:pt>
                <c:pt idx="114">
                  <c:v>11.399999999999975</c:v>
                </c:pt>
                <c:pt idx="115">
                  <c:v>11.499999999999975</c:v>
                </c:pt>
                <c:pt idx="116">
                  <c:v>11.599999999999975</c:v>
                </c:pt>
                <c:pt idx="117">
                  <c:v>11.699999999999974</c:v>
                </c:pt>
                <c:pt idx="118">
                  <c:v>11.799999999999974</c:v>
                </c:pt>
                <c:pt idx="119">
                  <c:v>11.899999999999974</c:v>
                </c:pt>
                <c:pt idx="120">
                  <c:v>11.999999999999973</c:v>
                </c:pt>
                <c:pt idx="121">
                  <c:v>12.099999999999973</c:v>
                </c:pt>
                <c:pt idx="122">
                  <c:v>12.199999999999973</c:v>
                </c:pt>
                <c:pt idx="123">
                  <c:v>12.299999999999972</c:v>
                </c:pt>
                <c:pt idx="124">
                  <c:v>12.399999999999972</c:v>
                </c:pt>
                <c:pt idx="125">
                  <c:v>12.499999999999972</c:v>
                </c:pt>
                <c:pt idx="126">
                  <c:v>12.599999999999971</c:v>
                </c:pt>
                <c:pt idx="127">
                  <c:v>12.699999999999971</c:v>
                </c:pt>
                <c:pt idx="128">
                  <c:v>12.799999999999971</c:v>
                </c:pt>
                <c:pt idx="129">
                  <c:v>12.89999999999997</c:v>
                </c:pt>
                <c:pt idx="130">
                  <c:v>12.99999999999997</c:v>
                </c:pt>
                <c:pt idx="131">
                  <c:v>13.099999999999969</c:v>
                </c:pt>
                <c:pt idx="132">
                  <c:v>13.199999999999969</c:v>
                </c:pt>
                <c:pt idx="133">
                  <c:v>13.299999999999969</c:v>
                </c:pt>
                <c:pt idx="134">
                  <c:v>13.399999999999968</c:v>
                </c:pt>
                <c:pt idx="135">
                  <c:v>13.499999999999968</c:v>
                </c:pt>
                <c:pt idx="136">
                  <c:v>13.599999999999968</c:v>
                </c:pt>
                <c:pt idx="137">
                  <c:v>13.699999999999967</c:v>
                </c:pt>
                <c:pt idx="138">
                  <c:v>13.799999999999967</c:v>
                </c:pt>
                <c:pt idx="139">
                  <c:v>13.899999999999967</c:v>
                </c:pt>
                <c:pt idx="140">
                  <c:v>13.999999999999966</c:v>
                </c:pt>
                <c:pt idx="141">
                  <c:v>14.099999999999966</c:v>
                </c:pt>
                <c:pt idx="142">
                  <c:v>14.199999999999966</c:v>
                </c:pt>
                <c:pt idx="143">
                  <c:v>14.299999999999965</c:v>
                </c:pt>
                <c:pt idx="144">
                  <c:v>14.399999999999965</c:v>
                </c:pt>
                <c:pt idx="145">
                  <c:v>14.499999999999964</c:v>
                </c:pt>
                <c:pt idx="146">
                  <c:v>14.599999999999964</c:v>
                </c:pt>
                <c:pt idx="147">
                  <c:v>14.699999999999964</c:v>
                </c:pt>
                <c:pt idx="148">
                  <c:v>14.799999999999963</c:v>
                </c:pt>
                <c:pt idx="149">
                  <c:v>14.899999999999963</c:v>
                </c:pt>
                <c:pt idx="150">
                  <c:v>14.999999999999963</c:v>
                </c:pt>
                <c:pt idx="151">
                  <c:v>15.099999999999962</c:v>
                </c:pt>
                <c:pt idx="152">
                  <c:v>15.199999999999962</c:v>
                </c:pt>
                <c:pt idx="153">
                  <c:v>15.299999999999962</c:v>
                </c:pt>
                <c:pt idx="154">
                  <c:v>15.399999999999961</c:v>
                </c:pt>
                <c:pt idx="155">
                  <c:v>15.499999999999961</c:v>
                </c:pt>
                <c:pt idx="156">
                  <c:v>15.599999999999961</c:v>
                </c:pt>
                <c:pt idx="157">
                  <c:v>15.69999999999996</c:v>
                </c:pt>
                <c:pt idx="158">
                  <c:v>15.79999999999996</c:v>
                </c:pt>
                <c:pt idx="159">
                  <c:v>15.899999999999959</c:v>
                </c:pt>
                <c:pt idx="160">
                  <c:v>15.999999999999959</c:v>
                </c:pt>
                <c:pt idx="161">
                  <c:v>16.099999999999959</c:v>
                </c:pt>
                <c:pt idx="162">
                  <c:v>16.19999999999996</c:v>
                </c:pt>
                <c:pt idx="163">
                  <c:v>16.299999999999962</c:v>
                </c:pt>
                <c:pt idx="164">
                  <c:v>16.399999999999963</c:v>
                </c:pt>
                <c:pt idx="165">
                  <c:v>16.499999999999964</c:v>
                </c:pt>
                <c:pt idx="166">
                  <c:v>16.599999999999966</c:v>
                </c:pt>
                <c:pt idx="167">
                  <c:v>16.699999999999967</c:v>
                </c:pt>
                <c:pt idx="168">
                  <c:v>16.799999999999969</c:v>
                </c:pt>
                <c:pt idx="169">
                  <c:v>16.89999999999997</c:v>
                </c:pt>
                <c:pt idx="170">
                  <c:v>16.999999999999972</c:v>
                </c:pt>
                <c:pt idx="171">
                  <c:v>17.099999999999973</c:v>
                </c:pt>
                <c:pt idx="172">
                  <c:v>17.199999999999974</c:v>
                </c:pt>
                <c:pt idx="173">
                  <c:v>17.299999999999976</c:v>
                </c:pt>
                <c:pt idx="174">
                  <c:v>17.399999999999977</c:v>
                </c:pt>
                <c:pt idx="175">
                  <c:v>17.499999999999979</c:v>
                </c:pt>
                <c:pt idx="176">
                  <c:v>17.59999999999998</c:v>
                </c:pt>
                <c:pt idx="177">
                  <c:v>17.699999999999982</c:v>
                </c:pt>
                <c:pt idx="178">
                  <c:v>17.799999999999983</c:v>
                </c:pt>
                <c:pt idx="179">
                  <c:v>17.899999999999984</c:v>
                </c:pt>
                <c:pt idx="180">
                  <c:v>17.999999999999986</c:v>
                </c:pt>
                <c:pt idx="181">
                  <c:v>18.099999999999987</c:v>
                </c:pt>
                <c:pt idx="182">
                  <c:v>18.199999999999989</c:v>
                </c:pt>
                <c:pt idx="183">
                  <c:v>18.29999999999999</c:v>
                </c:pt>
                <c:pt idx="184">
                  <c:v>18.399999999999991</c:v>
                </c:pt>
                <c:pt idx="185">
                  <c:v>18.499999999999993</c:v>
                </c:pt>
                <c:pt idx="186">
                  <c:v>18.599999999999994</c:v>
                </c:pt>
                <c:pt idx="187">
                  <c:v>18.699999999999996</c:v>
                </c:pt>
                <c:pt idx="188">
                  <c:v>18.799999999999997</c:v>
                </c:pt>
                <c:pt idx="189">
                  <c:v>18.899999999999999</c:v>
                </c:pt>
                <c:pt idx="190">
                  <c:v>19</c:v>
                </c:pt>
                <c:pt idx="191">
                  <c:v>19.100000000000001</c:v>
                </c:pt>
                <c:pt idx="192">
                  <c:v>19.200000000000003</c:v>
                </c:pt>
                <c:pt idx="193">
                  <c:v>19.300000000000004</c:v>
                </c:pt>
                <c:pt idx="194">
                  <c:v>19.400000000000006</c:v>
                </c:pt>
                <c:pt idx="195">
                  <c:v>19.500000000000007</c:v>
                </c:pt>
                <c:pt idx="196">
                  <c:v>19.600000000000009</c:v>
                </c:pt>
                <c:pt idx="197">
                  <c:v>19.70000000000001</c:v>
                </c:pt>
                <c:pt idx="198">
                  <c:v>19.800000000000011</c:v>
                </c:pt>
                <c:pt idx="199">
                  <c:v>19.900000000000013</c:v>
                </c:pt>
                <c:pt idx="200">
                  <c:v>20.000000000000014</c:v>
                </c:pt>
                <c:pt idx="201">
                  <c:v>20.100000000000016</c:v>
                </c:pt>
                <c:pt idx="202">
                  <c:v>20.200000000000017</c:v>
                </c:pt>
                <c:pt idx="203">
                  <c:v>20.300000000000018</c:v>
                </c:pt>
                <c:pt idx="204">
                  <c:v>20.40000000000002</c:v>
                </c:pt>
                <c:pt idx="205">
                  <c:v>20.500000000000021</c:v>
                </c:pt>
                <c:pt idx="206">
                  <c:v>20.600000000000023</c:v>
                </c:pt>
                <c:pt idx="207">
                  <c:v>20.700000000000024</c:v>
                </c:pt>
                <c:pt idx="208">
                  <c:v>20.800000000000026</c:v>
                </c:pt>
                <c:pt idx="209">
                  <c:v>20.900000000000027</c:v>
                </c:pt>
                <c:pt idx="210">
                  <c:v>21.000000000000028</c:v>
                </c:pt>
                <c:pt idx="211">
                  <c:v>21.10000000000003</c:v>
                </c:pt>
                <c:pt idx="212">
                  <c:v>21.200000000000031</c:v>
                </c:pt>
                <c:pt idx="213">
                  <c:v>21.300000000000033</c:v>
                </c:pt>
                <c:pt idx="214">
                  <c:v>21.400000000000034</c:v>
                </c:pt>
                <c:pt idx="215">
                  <c:v>21.500000000000036</c:v>
                </c:pt>
                <c:pt idx="216">
                  <c:v>21.600000000000037</c:v>
                </c:pt>
                <c:pt idx="217">
                  <c:v>21.700000000000038</c:v>
                </c:pt>
                <c:pt idx="218">
                  <c:v>21.80000000000004</c:v>
                </c:pt>
                <c:pt idx="219">
                  <c:v>21.900000000000041</c:v>
                </c:pt>
                <c:pt idx="220">
                  <c:v>22.000000000000043</c:v>
                </c:pt>
                <c:pt idx="221">
                  <c:v>22.100000000000044</c:v>
                </c:pt>
                <c:pt idx="222">
                  <c:v>22.200000000000045</c:v>
                </c:pt>
                <c:pt idx="223">
                  <c:v>22.300000000000047</c:v>
                </c:pt>
                <c:pt idx="224">
                  <c:v>22.400000000000048</c:v>
                </c:pt>
                <c:pt idx="225">
                  <c:v>22.50000000000005</c:v>
                </c:pt>
                <c:pt idx="226">
                  <c:v>22.600000000000051</c:v>
                </c:pt>
                <c:pt idx="227">
                  <c:v>22.700000000000053</c:v>
                </c:pt>
                <c:pt idx="228">
                  <c:v>22.800000000000054</c:v>
                </c:pt>
                <c:pt idx="229">
                  <c:v>22.900000000000055</c:v>
                </c:pt>
                <c:pt idx="230">
                  <c:v>23.000000000000057</c:v>
                </c:pt>
                <c:pt idx="231">
                  <c:v>23.100000000000058</c:v>
                </c:pt>
                <c:pt idx="232">
                  <c:v>23.20000000000006</c:v>
                </c:pt>
                <c:pt idx="233">
                  <c:v>23.300000000000061</c:v>
                </c:pt>
                <c:pt idx="234">
                  <c:v>23.400000000000063</c:v>
                </c:pt>
                <c:pt idx="235">
                  <c:v>23.500000000000064</c:v>
                </c:pt>
                <c:pt idx="236">
                  <c:v>23.600000000000065</c:v>
                </c:pt>
                <c:pt idx="237">
                  <c:v>23.700000000000067</c:v>
                </c:pt>
                <c:pt idx="238">
                  <c:v>23.800000000000068</c:v>
                </c:pt>
                <c:pt idx="239">
                  <c:v>23.90000000000007</c:v>
                </c:pt>
                <c:pt idx="240">
                  <c:v>24.000000000000071</c:v>
                </c:pt>
                <c:pt idx="241">
                  <c:v>24.100000000000072</c:v>
                </c:pt>
                <c:pt idx="242">
                  <c:v>24.200000000000074</c:v>
                </c:pt>
                <c:pt idx="243">
                  <c:v>24.300000000000075</c:v>
                </c:pt>
                <c:pt idx="244">
                  <c:v>24.400000000000077</c:v>
                </c:pt>
                <c:pt idx="245">
                  <c:v>24.500000000000078</c:v>
                </c:pt>
                <c:pt idx="246">
                  <c:v>24.60000000000008</c:v>
                </c:pt>
                <c:pt idx="247">
                  <c:v>24.700000000000081</c:v>
                </c:pt>
                <c:pt idx="248">
                  <c:v>24.800000000000082</c:v>
                </c:pt>
                <c:pt idx="249">
                  <c:v>24.900000000000084</c:v>
                </c:pt>
                <c:pt idx="250">
                  <c:v>25.000000000000085</c:v>
                </c:pt>
                <c:pt idx="251">
                  <c:v>25.100000000000087</c:v>
                </c:pt>
                <c:pt idx="252">
                  <c:v>25.200000000000088</c:v>
                </c:pt>
                <c:pt idx="253">
                  <c:v>25.30000000000009</c:v>
                </c:pt>
                <c:pt idx="254">
                  <c:v>25.400000000000091</c:v>
                </c:pt>
                <c:pt idx="255">
                  <c:v>25.500000000000092</c:v>
                </c:pt>
                <c:pt idx="256">
                  <c:v>25.600000000000094</c:v>
                </c:pt>
                <c:pt idx="257">
                  <c:v>25.700000000000095</c:v>
                </c:pt>
                <c:pt idx="258">
                  <c:v>25.800000000000097</c:v>
                </c:pt>
                <c:pt idx="259">
                  <c:v>25.900000000000098</c:v>
                </c:pt>
                <c:pt idx="260">
                  <c:v>26.000000000000099</c:v>
                </c:pt>
                <c:pt idx="261">
                  <c:v>26.100000000000101</c:v>
                </c:pt>
                <c:pt idx="262">
                  <c:v>26.200000000000102</c:v>
                </c:pt>
                <c:pt idx="263">
                  <c:v>26.300000000000104</c:v>
                </c:pt>
                <c:pt idx="264">
                  <c:v>26.400000000000105</c:v>
                </c:pt>
                <c:pt idx="265">
                  <c:v>26.500000000000107</c:v>
                </c:pt>
                <c:pt idx="266">
                  <c:v>26.600000000000108</c:v>
                </c:pt>
                <c:pt idx="267">
                  <c:v>26.700000000000109</c:v>
                </c:pt>
                <c:pt idx="268">
                  <c:v>26.800000000000111</c:v>
                </c:pt>
                <c:pt idx="269">
                  <c:v>26.900000000000112</c:v>
                </c:pt>
                <c:pt idx="270">
                  <c:v>27.000000000000114</c:v>
                </c:pt>
                <c:pt idx="271">
                  <c:v>27.100000000000115</c:v>
                </c:pt>
                <c:pt idx="272">
                  <c:v>27.200000000000117</c:v>
                </c:pt>
                <c:pt idx="273">
                  <c:v>27.300000000000118</c:v>
                </c:pt>
                <c:pt idx="274">
                  <c:v>27.400000000000119</c:v>
                </c:pt>
                <c:pt idx="275">
                  <c:v>27.500000000000121</c:v>
                </c:pt>
                <c:pt idx="276">
                  <c:v>27.600000000000122</c:v>
                </c:pt>
                <c:pt idx="277">
                  <c:v>27.700000000000124</c:v>
                </c:pt>
                <c:pt idx="278">
                  <c:v>27.800000000000125</c:v>
                </c:pt>
                <c:pt idx="279">
                  <c:v>27.900000000000126</c:v>
                </c:pt>
                <c:pt idx="280">
                  <c:v>28.000000000000128</c:v>
                </c:pt>
                <c:pt idx="281">
                  <c:v>28.100000000000129</c:v>
                </c:pt>
                <c:pt idx="282">
                  <c:v>28.200000000000131</c:v>
                </c:pt>
                <c:pt idx="283">
                  <c:v>28.300000000000132</c:v>
                </c:pt>
                <c:pt idx="284">
                  <c:v>28.400000000000134</c:v>
                </c:pt>
                <c:pt idx="285">
                  <c:v>28.500000000000135</c:v>
                </c:pt>
                <c:pt idx="286">
                  <c:v>28.600000000000136</c:v>
                </c:pt>
                <c:pt idx="287">
                  <c:v>28.700000000000138</c:v>
                </c:pt>
              </c:numCache>
            </c:numRef>
          </c:xVal>
          <c:yVal>
            <c:numRef>
              <c:f>'Poisson Likelihood Fn'!$J$13:$J$300</c:f>
              <c:numCache>
                <c:formatCode>General</c:formatCode>
                <c:ptCount val="288"/>
                <c:pt idx="0">
                  <c:v>-521.9565540252006</c:v>
                </c:pt>
                <c:pt idx="1">
                  <c:v>-241.53617267992706</c:v>
                </c:pt>
                <c:pt idx="2">
                  <c:v>-199.7541946657704</c:v>
                </c:pt>
                <c:pt idx="3">
                  <c:v>-175.52082307117237</c:v>
                </c:pt>
                <c:pt idx="4">
                  <c:v>-158.47221665161373</c:v>
                </c:pt>
                <c:pt idx="5">
                  <c:v>-145.36046002144695</c:v>
                </c:pt>
                <c:pt idx="6">
                  <c:v>-134.73884505701571</c:v>
                </c:pt>
                <c:pt idx="7">
                  <c:v>-125.83565358755295</c:v>
                </c:pt>
                <c:pt idx="8">
                  <c:v>-118.19023863745709</c:v>
                </c:pt>
                <c:pt idx="9">
                  <c:v>-111.5054734624177</c:v>
                </c:pt>
                <c:pt idx="10">
                  <c:v>-105.57848200729029</c:v>
                </c:pt>
                <c:pt idx="11">
                  <c:v>-100.26456103922646</c:v>
                </c:pt>
                <c:pt idx="12">
                  <c:v>-95.456867042859045</c:v>
                </c:pt>
                <c:pt idx="13">
                  <c:v>-91.074261874773327</c:v>
                </c:pt>
                <c:pt idx="14">
                  <c:v>-87.053675573396291</c:v>
                </c:pt>
                <c:pt idx="15">
                  <c:v>-83.345110412692236</c:v>
                </c:pt>
                <c:pt idx="16">
                  <c:v>-79.908260623300407</c:v>
                </c:pt>
                <c:pt idx="17">
                  <c:v>-76.71015869249787</c:v>
                </c:pt>
                <c:pt idx="18">
                  <c:v>-73.723495448261005</c:v>
                </c:pt>
                <c:pt idx="19">
                  <c:v>-70.925394950774177</c:v>
                </c:pt>
                <c:pt idx="20">
                  <c:v>-68.296503993133598</c:v>
                </c:pt>
                <c:pt idx="21">
                  <c:v>-65.82030397879825</c:v>
                </c:pt>
                <c:pt idx="22">
                  <c:v>-63.482583025069786</c:v>
                </c:pt>
                <c:pt idx="23">
                  <c:v>-61.271025508248918</c:v>
                </c:pt>
                <c:pt idx="24">
                  <c:v>-59.174889028702367</c:v>
                </c:pt>
                <c:pt idx="25">
                  <c:v>-57.184747362966803</c:v>
                </c:pt>
                <c:pt idx="26">
                  <c:v>-55.292283860616642</c:v>
                </c:pt>
                <c:pt idx="27">
                  <c:v>-53.490123853662979</c:v>
                </c:pt>
                <c:pt idx="28">
                  <c:v>-51.771697559239605</c:v>
                </c:pt>
                <c:pt idx="29">
                  <c:v>-50.131127050752127</c:v>
                </c:pt>
                <c:pt idx="30">
                  <c:v>-48.563132398535572</c:v>
                </c:pt>
                <c:pt idx="31">
                  <c:v>-47.062953206333127</c:v>
                </c:pt>
                <c:pt idx="32">
                  <c:v>-45.626282609143729</c:v>
                </c:pt>
                <c:pt idx="33">
                  <c:v>-44.249211430471746</c:v>
                </c:pt>
                <c:pt idx="34">
                  <c:v>-42.928180678341199</c:v>
                </c:pt>
                <c:pt idx="35">
                  <c:v>-41.65994092907281</c:v>
                </c:pt>
                <c:pt idx="36">
                  <c:v>-40.441517434104334</c:v>
                </c:pt>
                <c:pt idx="37">
                  <c:v>-39.270180008629353</c:v>
                </c:pt>
                <c:pt idx="38">
                  <c:v>-38.143416936617513</c:v>
                </c:pt>
                <c:pt idx="39">
                  <c:v>-37.058912266018609</c:v>
                </c:pt>
                <c:pt idx="40">
                  <c:v>-36.014525978976934</c:v>
                </c:pt>
                <c:pt idx="41">
                  <c:v>-35.008276610964273</c:v>
                </c:pt>
                <c:pt idx="42">
                  <c:v>-34.038325964641594</c:v>
                </c:pt>
                <c:pt idx="43">
                  <c:v>-33.102965622619756</c:v>
                </c:pt>
                <c:pt idx="44">
                  <c:v>-32.200605010913137</c:v>
                </c:pt>
                <c:pt idx="45">
                  <c:v>-31.32976080393756</c:v>
                </c:pt>
                <c:pt idx="46">
                  <c:v>-30.489047494092276</c:v>
                </c:pt>
                <c:pt idx="47">
                  <c:v>-29.677168975613498</c:v>
                </c:pt>
                <c:pt idx="48">
                  <c:v>-28.892911014545728</c:v>
                </c:pt>
                <c:pt idx="49">
                  <c:v>-28.135134495178853</c:v>
                </c:pt>
                <c:pt idx="50">
                  <c:v>-27.402769348810171</c:v>
                </c:pt>
                <c:pt idx="51">
                  <c:v>-26.694809083743209</c:v>
                </c:pt>
                <c:pt idx="52">
                  <c:v>-26.010305846460014</c:v>
                </c:pt>
                <c:pt idx="53">
                  <c:v>-25.348365953247651</c:v>
                </c:pt>
                <c:pt idx="54">
                  <c:v>-24.708145839506351</c:v>
                </c:pt>
                <c:pt idx="55">
                  <c:v>-24.088848380746363</c:v>
                </c:pt>
                <c:pt idx="56">
                  <c:v>-23.489719545082984</c:v>
                </c:pt>
                <c:pt idx="57">
                  <c:v>-22.910045342019529</c:v>
                </c:pt>
                <c:pt idx="58">
                  <c:v>-22.349149036595513</c:v>
                </c:pt>
                <c:pt idx="59">
                  <c:v>-21.806388601678208</c:v>
                </c:pt>
                <c:pt idx="60">
                  <c:v>-21.281154384378951</c:v>
                </c:pt>
                <c:pt idx="61">
                  <c:v>-20.77286696535511</c:v>
                </c:pt>
                <c:pt idx="62">
                  <c:v>-20.280975192176509</c:v>
                </c:pt>
                <c:pt idx="63">
                  <c:v>-19.804954370043603</c:v>
                </c:pt>
                <c:pt idx="64">
                  <c:v>-19.344304594987111</c:v>
                </c:pt>
                <c:pt idx="65">
                  <c:v>-18.898549216293233</c:v>
                </c:pt>
                <c:pt idx="66">
                  <c:v>-18.467233416315139</c:v>
                </c:pt>
                <c:pt idx="67">
                  <c:v>-18.049922897078169</c:v>
                </c:pt>
                <c:pt idx="68">
                  <c:v>-17.646202664184592</c:v>
                </c:pt>
                <c:pt idx="69">
                  <c:v>-17.255675899494275</c:v>
                </c:pt>
                <c:pt idx="70">
                  <c:v>-16.877962914916203</c:v>
                </c:pt>
                <c:pt idx="71">
                  <c:v>-16.51270018040686</c:v>
                </c:pt>
                <c:pt idx="72">
                  <c:v>-16.159539419947727</c:v>
                </c:pt>
                <c:pt idx="73">
                  <c:v>-15.81814676987524</c:v>
                </c:pt>
                <c:pt idx="74">
                  <c:v>-15.488201994472744</c:v>
                </c:pt>
                <c:pt idx="75">
                  <c:v>-15.169397754212161</c:v>
                </c:pt>
                <c:pt idx="76">
                  <c:v>-14.861438922460902</c:v>
                </c:pt>
                <c:pt idx="77">
                  <c:v>-14.564041946852386</c:v>
                </c:pt>
                <c:pt idx="78">
                  <c:v>-14.276934251862002</c:v>
                </c:pt>
                <c:pt idx="79">
                  <c:v>-13.999853679438788</c:v>
                </c:pt>
                <c:pt idx="80">
                  <c:v>-13.73254796482032</c:v>
                </c:pt>
                <c:pt idx="81">
                  <c:v>-13.474774244908339</c:v>
                </c:pt>
                <c:pt idx="82">
                  <c:v>-13.226298596807659</c:v>
                </c:pt>
                <c:pt idx="83">
                  <c:v>-12.986895604334626</c:v>
                </c:pt>
                <c:pt idx="84">
                  <c:v>-12.756347950484969</c:v>
                </c:pt>
                <c:pt idx="85">
                  <c:v>-12.534446034017792</c:v>
                </c:pt>
                <c:pt idx="86">
                  <c:v>-12.320987608463126</c:v>
                </c:pt>
                <c:pt idx="87">
                  <c:v>-12.115777441997491</c:v>
                </c:pt>
                <c:pt idx="88">
                  <c:v>-11.918626996756501</c:v>
                </c:pt>
                <c:pt idx="89">
                  <c:v>-11.729354126266566</c:v>
                </c:pt>
                <c:pt idx="90">
                  <c:v>-11.547782789780925</c:v>
                </c:pt>
                <c:pt idx="91">
                  <c:v>-11.373742782399241</c:v>
                </c:pt>
                <c:pt idx="92">
                  <c:v>-11.207069479935637</c:v>
                </c:pt>
                <c:pt idx="93">
                  <c:v>-11.047603597578481</c:v>
                </c:pt>
                <c:pt idx="94">
                  <c:v>-10.895190961456855</c:v>
                </c:pt>
                <c:pt idx="95">
                  <c:v>-10.749682292294102</c:v>
                </c:pt>
                <c:pt idx="96">
                  <c:v>-10.61093300038908</c:v>
                </c:pt>
                <c:pt idx="97">
                  <c:v>-10.478802991220736</c:v>
                </c:pt>
                <c:pt idx="98">
                  <c:v>-10.3531564810222</c:v>
                </c:pt>
                <c:pt idx="99">
                  <c:v>-10.233861821717102</c:v>
                </c:pt>
                <c:pt idx="100">
                  <c:v>-10.120791334653516</c:v>
                </c:pt>
                <c:pt idx="101">
                  <c:v>-10.013821152610262</c:v>
                </c:pt>
                <c:pt idx="102">
                  <c:v>-9.9128310695865522</c:v>
                </c:pt>
                <c:pt idx="103">
                  <c:v>-9.8177043979193037</c:v>
                </c:pt>
                <c:pt idx="104">
                  <c:v>-9.72832783230335</c:v>
                </c:pt>
                <c:pt idx="105">
                  <c:v>-9.6445913203181597</c:v>
                </c:pt>
                <c:pt idx="106">
                  <c:v>-9.5663879390909852</c:v>
                </c:pt>
                <c:pt idx="107">
                  <c:v>-9.4936137777508058</c:v>
                </c:pt>
                <c:pt idx="108">
                  <c:v>-9.4261678253496797</c:v>
                </c:pt>
                <c:pt idx="109">
                  <c:v>-9.363951863949314</c:v>
                </c:pt>
                <c:pt idx="110">
                  <c:v>-9.3068703665896901</c:v>
                </c:pt>
                <c:pt idx="111">
                  <c:v>-9.2548303998746952</c:v>
                </c:pt>
                <c:pt idx="112">
                  <c:v>-9.2077415309263095</c:v>
                </c:pt>
                <c:pt idx="113">
                  <c:v>-9.1655157384743013</c:v>
                </c:pt>
                <c:pt idx="114">
                  <c:v>-9.128067327862853</c:v>
                </c:pt>
                <c:pt idx="115">
                  <c:v>-9.0953128497688187</c:v>
                </c:pt>
                <c:pt idx="116">
                  <c:v>-9.0671710224388313</c:v>
                </c:pt>
                <c:pt idx="117">
                  <c:v>-9.0435626572639514</c:v>
                </c:pt>
                <c:pt idx="118">
                  <c:v>-9.0244105875215226</c:v>
                </c:pt>
                <c:pt idx="119">
                  <c:v>-9.0096396001237746</c:v>
                </c:pt>
                <c:pt idx="120">
                  <c:v>-8.999176370222262</c:v>
                </c:pt>
                <c:pt idx="121">
                  <c:v>-8.9929493985258624</c:v>
                </c:pt>
                <c:pt idx="122">
                  <c:v>-8.9908889511984196</c:v>
                </c:pt>
                <c:pt idx="123">
                  <c:v>-8.9929270022095995</c:v>
                </c:pt>
                <c:pt idx="124">
                  <c:v>-8.9989971780198132</c:v>
                </c:pt>
                <c:pt idx="125">
                  <c:v>-9.0090347044866945</c:v>
                </c:pt>
                <c:pt idx="126">
                  <c:v>-9.0229763558869038</c:v>
                </c:pt>
                <c:pt idx="127">
                  <c:v>-9.0407604059529945</c:v>
                </c:pt>
                <c:pt idx="128">
                  <c:v>-9.0623265808304136</c:v>
                </c:pt>
                <c:pt idx="129">
                  <c:v>-9.087616013865059</c:v>
                </c:pt>
                <c:pt idx="130">
                  <c:v>-9.1165712021365319</c:v>
                </c:pt>
                <c:pt idx="131">
                  <c:v>-9.1491359646568124</c:v>
                </c:pt>
                <c:pt idx="132">
                  <c:v>-9.1852554021584325</c:v>
                </c:pt>
                <c:pt idx="133">
                  <c:v>-9.2248758584000754</c:v>
                </c:pt>
                <c:pt idx="134">
                  <c:v>-9.2679448829214586</c:v>
                </c:pt>
                <c:pt idx="135">
                  <c:v>-9.3144111951828528</c:v>
                </c:pt>
                <c:pt idx="136">
                  <c:v>-9.3642246500278752</c:v>
                </c:pt>
                <c:pt idx="137">
                  <c:v>-9.4173362044114253</c:v>
                </c:pt>
                <c:pt idx="138">
                  <c:v>-9.4736978853375611</c:v>
                </c:pt>
                <c:pt idx="139">
                  <c:v>-9.5332627589548498</c:v>
                </c:pt>
                <c:pt idx="140">
                  <c:v>-9.5959849007594826</c:v>
                </c:pt>
                <c:pt idx="141">
                  <c:v>-9.6618193668587793</c:v>
                </c:pt>
                <c:pt idx="142">
                  <c:v>-9.7307221662501373</c:v>
                </c:pt>
                <c:pt idx="143">
                  <c:v>-9.8026502340726953</c:v>
                </c:pt>
                <c:pt idx="144">
                  <c:v>-9.8775614057910026</c:v>
                </c:pt>
                <c:pt idx="145">
                  <c:v>-9.9554143922719973</c:v>
                </c:pt>
                <c:pt idx="146">
                  <c:v>-10.036168755718514</c:v>
                </c:pt>
                <c:pt idx="147">
                  <c:v>-10.119784886424123</c:v>
                </c:pt>
                <c:pt idx="148">
                  <c:v>-10.206223980316016</c:v>
                </c:pt>
                <c:pt idx="149">
                  <c:v>-10.295448017254023</c:v>
                </c:pt>
                <c:pt idx="150">
                  <c:v>-10.38741974005543</c:v>
                </c:pt>
                <c:pt idx="151">
                  <c:v>-10.482102634216647</c:v>
                </c:pt>
                <c:pt idx="152">
                  <c:v>-10.579460908304169</c:v>
                </c:pt>
                <c:pt idx="153">
                  <c:v>-10.679459474988462</c:v>
                </c:pt>
                <c:pt idx="154">
                  <c:v>-10.78206393269565</c:v>
                </c:pt>
                <c:pt idx="155">
                  <c:v>-10.887240547852985</c:v>
                </c:pt>
                <c:pt idx="156">
                  <c:v>-10.994956237705265</c:v>
                </c:pt>
                <c:pt idx="157">
                  <c:v>-11.105178553680229</c:v>
                </c:pt>
                <c:pt idx="158">
                  <c:v>-11.217875665282046</c:v>
                </c:pt>
                <c:pt idx="159">
                  <c:v>-11.333016344492895</c:v>
                </c:pt>
                <c:pt idx="160">
                  <c:v>-11.450569950663576</c:v>
                </c:pt>
                <c:pt idx="161">
                  <c:v>-11.570506415874773</c:v>
                </c:pt>
                <c:pt idx="162">
                  <c:v>-11.692796230751592</c:v>
                </c:pt>
                <c:pt idx="163">
                  <c:v>-11.817410430714517</c:v>
                </c:pt>
                <c:pt idx="164">
                  <c:v>-11.944320582650915</c:v>
                </c:pt>
                <c:pt idx="165">
                  <c:v>-12.073498771991606</c:v>
                </c:pt>
                <c:pt idx="166">
                  <c:v>-12.204917590177885</c:v>
                </c:pt>
                <c:pt idx="167">
                  <c:v>-12.338550122504961</c:v>
                </c:pt>
                <c:pt idx="168">
                  <c:v>-12.474369936328232</c:v>
                </c:pt>
                <c:pt idx="169">
                  <c:v>-12.612351069619542</c:v>
                </c:pt>
                <c:pt idx="170">
                  <c:v>-12.752468019861057</c:v>
                </c:pt>
                <c:pt idx="171">
                  <c:v>-12.894695733264779</c:v>
                </c:pt>
                <c:pt idx="172">
                  <c:v>-13.039009594306393</c:v>
                </c:pt>
                <c:pt idx="173">
                  <c:v>-13.185385415562516</c:v>
                </c:pt>
                <c:pt idx="174">
                  <c:v>-13.333799427840763</c:v>
                </c:pt>
                <c:pt idx="175">
                  <c:v>-13.484228270592675</c:v>
                </c:pt>
                <c:pt idx="176">
                  <c:v>-13.636648982599777</c:v>
                </c:pt>
                <c:pt idx="177">
                  <c:v>-13.791038992923463</c:v>
                </c:pt>
                <c:pt idx="178">
                  <c:v>-13.947376112109843</c:v>
                </c:pt>
                <c:pt idx="179">
                  <c:v>-14.105638523640986</c:v>
                </c:pt>
                <c:pt idx="180">
                  <c:v>-14.265804775624211</c:v>
                </c:pt>
                <c:pt idx="181">
                  <c:v>-14.427853772711673</c:v>
                </c:pt>
                <c:pt idx="182">
                  <c:v>-14.591764768242529</c:v>
                </c:pt>
                <c:pt idx="183">
                  <c:v>-14.757517356600372</c:v>
                </c:pt>
                <c:pt idx="184">
                  <c:v>-14.92509146577893</c:v>
                </c:pt>
                <c:pt idx="185">
                  <c:v>-15.094467350149241</c:v>
                </c:pt>
                <c:pt idx="186">
                  <c:v>-15.265625583421778</c:v>
                </c:pt>
                <c:pt idx="187">
                  <c:v>-15.438547051797276</c:v>
                </c:pt>
                <c:pt idx="188">
                  <c:v>-15.613212947300161</c:v>
                </c:pt>
                <c:pt idx="189">
                  <c:v>-15.789604761288881</c:v>
                </c:pt>
                <c:pt idx="190">
                  <c:v>-15.967704278137411</c:v>
                </c:pt>
                <c:pt idx="191">
                  <c:v>-16.147493569082645</c:v>
                </c:pt>
                <c:pt idx="192">
                  <c:v>-16.328954986232397</c:v>
                </c:pt>
                <c:pt idx="193">
                  <c:v>-16.512071156729053</c:v>
                </c:pt>
                <c:pt idx="194">
                  <c:v>-16.696824977064058</c:v>
                </c:pt>
                <c:pt idx="195">
                  <c:v>-16.883199607538526</c:v>
                </c:pt>
                <c:pt idx="196">
                  <c:v>-17.071178466865533</c:v>
                </c:pt>
                <c:pt idx="197">
                  <c:v>-17.260745226909787</c:v>
                </c:pt>
                <c:pt idx="198">
                  <c:v>-17.451883807560435</c:v>
                </c:pt>
                <c:pt idx="199">
                  <c:v>-17.644578371733058</c:v>
                </c:pt>
                <c:pt idx="200">
                  <c:v>-17.838813320496858</c:v>
                </c:pt>
                <c:pt idx="201">
                  <c:v>-18.034573288323479</c:v>
                </c:pt>
                <c:pt idx="202">
                  <c:v>-18.231843138453609</c:v>
                </c:pt>
                <c:pt idx="203">
                  <c:v>-18.430607958378076</c:v>
                </c:pt>
                <c:pt idx="204">
                  <c:v>-18.630853055429906</c:v>
                </c:pt>
                <c:pt idx="205">
                  <c:v>-18.832563952484211</c:v>
                </c:pt>
                <c:pt idx="206">
                  <c:v>-19.035726383762668</c:v>
                </c:pt>
                <c:pt idx="207">
                  <c:v>-19.240326290739603</c:v>
                </c:pt>
                <c:pt idx="208">
                  <c:v>-19.446349818146722</c:v>
                </c:pt>
                <c:pt idx="209">
                  <c:v>-19.653783310073653</c:v>
                </c:pt>
                <c:pt idx="210">
                  <c:v>-19.862613306161535</c:v>
                </c:pt>
                <c:pt idx="211">
                  <c:v>-20.072826537887071</c:v>
                </c:pt>
                <c:pt idx="212">
                  <c:v>-20.284409924934373</c:v>
                </c:pt>
                <c:pt idx="213">
                  <c:v>-20.497350571652202</c:v>
                </c:pt>
                <c:pt idx="214">
                  <c:v>-20.711635763594199</c:v>
                </c:pt>
                <c:pt idx="215">
                  <c:v>-20.927252964139711</c:v>
                </c:pt>
                <c:pt idx="216">
                  <c:v>-21.144189811193083</c:v>
                </c:pt>
                <c:pt idx="217">
                  <c:v>-21.362434113959118</c:v>
                </c:pt>
                <c:pt idx="218">
                  <c:v>-21.581973849792725</c:v>
                </c:pt>
                <c:pt idx="219">
                  <c:v>-21.802797161120605</c:v>
                </c:pt>
                <c:pt idx="220">
                  <c:v>-22.02489235243311</c:v>
                </c:pt>
                <c:pt idx="221">
                  <c:v>-22.248247887344245</c:v>
                </c:pt>
                <c:pt idx="222">
                  <c:v>-22.472852385718124</c:v>
                </c:pt>
                <c:pt idx="223">
                  <c:v>-22.698694620859932</c:v>
                </c:pt>
                <c:pt idx="224">
                  <c:v>-22.925763516769745</c:v>
                </c:pt>
                <c:pt idx="225">
                  <c:v>-23.154048145457555</c:v>
                </c:pt>
                <c:pt idx="226">
                  <c:v>-23.383537724317744</c:v>
                </c:pt>
                <c:pt idx="227">
                  <c:v>-23.614221613561629</c:v>
                </c:pt>
                <c:pt idx="228">
                  <c:v>-23.846089313706305</c:v>
                </c:pt>
                <c:pt idx="229">
                  <c:v>-24.079130463118577</c:v>
                </c:pt>
                <c:pt idx="230">
                  <c:v>-24.313334835612281</c:v>
                </c:pt>
                <c:pt idx="231">
                  <c:v>-24.548692338097794</c:v>
                </c:pt>
                <c:pt idx="232">
                  <c:v>-24.785193008282302</c:v>
                </c:pt>
                <c:pt idx="233">
                  <c:v>-25.02282701241948</c:v>
                </c:pt>
                <c:pt idx="234">
                  <c:v>-25.26158464310743</c:v>
                </c:pt>
                <c:pt idx="235">
                  <c:v>-25.501456317133528</c:v>
                </c:pt>
                <c:pt idx="236">
                  <c:v>-25.742432573365008</c:v>
                </c:pt>
                <c:pt idx="237">
                  <c:v>-25.984504070684228</c:v>
                </c:pt>
                <c:pt idx="238">
                  <c:v>-26.227661585967276</c:v>
                </c:pt>
                <c:pt idx="239">
                  <c:v>-26.471896012105088</c:v>
                </c:pt>
                <c:pt idx="240">
                  <c:v>-26.717198356065769</c:v>
                </c:pt>
                <c:pt idx="241">
                  <c:v>-26.963559736997293</c:v>
                </c:pt>
                <c:pt idx="242">
                  <c:v>-27.210971384369376</c:v>
                </c:pt>
                <c:pt idx="243">
                  <c:v>-27.459424636153798</c:v>
                </c:pt>
                <c:pt idx="244">
                  <c:v>-27.708910937041942</c:v>
                </c:pt>
                <c:pt idx="245">
                  <c:v>-27.959421836698915</c:v>
                </c:pt>
                <c:pt idx="246">
                  <c:v>-28.210948988053133</c:v>
                </c:pt>
                <c:pt idx="247">
                  <c:v>-28.463484145620662</c:v>
                </c:pt>
                <c:pt idx="248">
                  <c:v>-28.717019163863366</c:v>
                </c:pt>
                <c:pt idx="249">
                  <c:v>-28.971545995580115</c:v>
                </c:pt>
                <c:pt idx="250">
                  <c:v>-29.227056690330247</c:v>
                </c:pt>
                <c:pt idx="251">
                  <c:v>-29.483543392888475</c:v>
                </c:pt>
                <c:pt idx="252">
                  <c:v>-29.740998341730474</c:v>
                </c:pt>
                <c:pt idx="253">
                  <c:v>-29.999413867548562</c:v>
                </c:pt>
                <c:pt idx="254">
                  <c:v>-30.258782391796572</c:v>
                </c:pt>
                <c:pt idx="255">
                  <c:v>-30.519096425263314</c:v>
                </c:pt>
                <c:pt idx="256">
                  <c:v>-30.780348566674004</c:v>
                </c:pt>
                <c:pt idx="257">
                  <c:v>-31.042531501318908</c:v>
                </c:pt>
                <c:pt idx="258">
                  <c:v>-31.305637999708658</c:v>
                </c:pt>
                <c:pt idx="259">
                  <c:v>-31.569660916255522</c:v>
                </c:pt>
                <c:pt idx="260">
                  <c:v>-31.834593187980136</c:v>
                </c:pt>
                <c:pt idx="261">
                  <c:v>-32.100427833243039</c:v>
                </c:pt>
                <c:pt idx="262">
                  <c:v>-32.367157950500435</c:v>
                </c:pt>
                <c:pt idx="263">
                  <c:v>-32.634776717083703</c:v>
                </c:pt>
                <c:pt idx="264">
                  <c:v>-32.90327738800206</c:v>
                </c:pt>
                <c:pt idx="265">
                  <c:v>-33.172653294767798</c:v>
                </c:pt>
                <c:pt idx="266">
                  <c:v>-33.442897844243717</c:v>
                </c:pt>
                <c:pt idx="267">
                  <c:v>-33.714004517512137</c:v>
                </c:pt>
                <c:pt idx="268">
                  <c:v>-33.985966868765111</c:v>
                </c:pt>
                <c:pt idx="269">
                  <c:v>-34.258778524215188</c:v>
                </c:pt>
                <c:pt idx="270">
                  <c:v>-34.532433181026519</c:v>
                </c:pt>
                <c:pt idx="271">
                  <c:v>-34.806924606265632</c:v>
                </c:pt>
                <c:pt idx="272">
                  <c:v>-35.082246635871556</c:v>
                </c:pt>
                <c:pt idx="273">
                  <c:v>-35.358393173644849</c:v>
                </c:pt>
                <c:pt idx="274">
                  <c:v>-35.635358190255111</c:v>
                </c:pt>
                <c:pt idx="275">
                  <c:v>-35.913135722266553</c:v>
                </c:pt>
                <c:pt idx="276">
                  <c:v>-36.191719871181256</c:v>
                </c:pt>
                <c:pt idx="277">
                  <c:v>-36.47110480249976</c:v>
                </c:pt>
                <c:pt idx="278">
                  <c:v>-36.751284744798554</c:v>
                </c:pt>
                <c:pt idx="279">
                  <c:v>-37.032253988824124</c:v>
                </c:pt>
                <c:pt idx="280">
                  <c:v>-37.314006886603202</c:v>
                </c:pt>
                <c:pt idx="281">
                  <c:v>-37.596537850568943</c:v>
                </c:pt>
                <c:pt idx="282">
                  <c:v>-37.879841352702506</c:v>
                </c:pt>
                <c:pt idx="283">
                  <c:v>-38.163911923689945</c:v>
                </c:pt>
                <c:pt idx="284">
                  <c:v>-38.44874415209388</c:v>
                </c:pt>
                <c:pt idx="285">
                  <c:v>-38.734332683539769</c:v>
                </c:pt>
                <c:pt idx="286">
                  <c:v>-39.020672219916449</c:v>
                </c:pt>
                <c:pt idx="287">
                  <c:v>-39.307757518590577</c:v>
                </c:pt>
              </c:numCache>
            </c:numRef>
          </c:yVal>
          <c:smooth val="1"/>
        </c:ser>
        <c:dLbls>
          <c:showLegendKey val="0"/>
          <c:showVal val="0"/>
          <c:showCatName val="0"/>
          <c:showSerName val="0"/>
          <c:showPercent val="0"/>
          <c:showBubbleSize val="0"/>
        </c:dLbls>
        <c:axId val="359257184"/>
        <c:axId val="359253656"/>
      </c:scatterChart>
      <c:valAx>
        <c:axId val="359257184"/>
        <c:scaling>
          <c:orientation val="minMax"/>
          <c:max val="30"/>
        </c:scaling>
        <c:delete val="0"/>
        <c:axPos val="b"/>
        <c:title>
          <c:tx>
            <c:rich>
              <a:bodyPr/>
              <a:lstStyle/>
              <a:p>
                <a:pPr>
                  <a:defRPr sz="1000" b="1" i="0" u="none" strike="noStrike" baseline="0">
                    <a:solidFill>
                      <a:srgbClr val="000000"/>
                    </a:solidFill>
                    <a:latin typeface="Arial"/>
                    <a:ea typeface="Arial"/>
                    <a:cs typeface="Arial"/>
                  </a:defRPr>
                </a:pPr>
                <a:r>
                  <a:rPr lang="en-US"/>
                  <a:t> lambda</a:t>
                </a:r>
              </a:p>
            </c:rich>
          </c:tx>
          <c:layout>
            <c:manualLayout>
              <c:xMode val="edge"/>
              <c:yMode val="edge"/>
              <c:x val="0.38386072099017338"/>
              <c:y val="0.90457322319007583"/>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en-US"/>
          </a:p>
        </c:txPr>
        <c:crossAx val="359253656"/>
        <c:crosses val="autoZero"/>
        <c:crossBetween val="midCat"/>
        <c:majorUnit val="2"/>
      </c:valAx>
      <c:valAx>
        <c:axId val="359253656"/>
        <c:scaling>
          <c:orientation val="minMax"/>
          <c:min val="-100"/>
        </c:scaling>
        <c:delete val="0"/>
        <c:axPos val="l"/>
        <c:majorGridlines>
          <c:spPr>
            <a:ln w="3175">
              <a:solidFill>
                <a:srgbClr val="000000"/>
              </a:solidFill>
              <a:prstDash val="solid"/>
            </a:ln>
          </c:spPr>
        </c:majorGridlines>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en-US"/>
          </a:p>
        </c:txPr>
        <c:crossAx val="359257184"/>
        <c:crosses val="autoZero"/>
        <c:crossBetween val="midCat"/>
      </c:valAx>
      <c:spPr>
        <a:solidFill>
          <a:srgbClr val="C0C0C0"/>
        </a:solidFill>
        <a:ln w="12700">
          <a:solidFill>
            <a:srgbClr val="808080"/>
          </a:solidFill>
          <a:prstDash val="solid"/>
        </a:ln>
      </c:spPr>
    </c:plotArea>
    <c:legend>
      <c:legendPos val="r"/>
      <c:layout>
        <c:manualLayout>
          <c:xMode val="edge"/>
          <c:yMode val="edge"/>
          <c:x val="0.7949842772779443"/>
          <c:y val="0.49503018148204142"/>
          <c:w val="0.19411138731889452"/>
          <c:h val="5.1689898468004335E-2"/>
        </c:manualLayout>
      </c:layout>
      <c:overlay val="0"/>
      <c:spPr>
        <a:solidFill>
          <a:srgbClr val="FFFFFF"/>
        </a:solidFill>
        <a:ln w="3175">
          <a:solidFill>
            <a:srgbClr val="000000"/>
          </a:solidFill>
          <a:prstDash val="solid"/>
        </a:ln>
      </c:spPr>
      <c:txPr>
        <a:bodyPr/>
        <a:lstStyle/>
        <a:p>
          <a:pPr>
            <a:defRPr sz="920" b="0"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userShapes r:id="rId1"/>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Ordered values of husband's race, showing which groups are closest and furthest</a:t>
            </a:r>
            <a:r>
              <a:rPr lang="en-US" baseline="0"/>
              <a:t> from each other, from RC model. The scale is not important , but the relative order and proximity is important.</a:t>
            </a:r>
            <a:endParaRPr lang="en-US"/>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bar"/>
        <c:grouping val="clustered"/>
        <c:varyColors val="0"/>
        <c:ser>
          <c:idx val="0"/>
          <c:order val="0"/>
          <c:spPr>
            <a:solidFill>
              <a:schemeClr val="accent1"/>
            </a:solidFill>
            <a:ln>
              <a:noFill/>
            </a:ln>
            <a:effectLst/>
          </c:spPr>
          <c:invertIfNegative val="0"/>
          <c:cat>
            <c:strRef>
              <c:f>'model selection 5x5 intermar'!$T$22:$X$22</c:f>
              <c:strCache>
                <c:ptCount val="5"/>
                <c:pt idx="0">
                  <c:v>Black, non-Hispanic</c:v>
                </c:pt>
                <c:pt idx="1">
                  <c:v>Mexican Amer</c:v>
                </c:pt>
                <c:pt idx="2">
                  <c:v>Other Hispanic</c:v>
                </c:pt>
                <c:pt idx="3">
                  <c:v>non Hispanic other</c:v>
                </c:pt>
                <c:pt idx="4">
                  <c:v>White, non Hispanic</c:v>
                </c:pt>
              </c:strCache>
            </c:strRef>
          </c:cat>
          <c:val>
            <c:numRef>
              <c:f>'model selection 5x5 intermar'!$T$23:$X$23</c:f>
              <c:numCache>
                <c:formatCode>General</c:formatCode>
                <c:ptCount val="5"/>
                <c:pt idx="0">
                  <c:v>-2.0350000000000001</c:v>
                </c:pt>
                <c:pt idx="1">
                  <c:v>-0.45</c:v>
                </c:pt>
                <c:pt idx="2">
                  <c:v>-0.15</c:v>
                </c:pt>
                <c:pt idx="3">
                  <c:v>0.23</c:v>
                </c:pt>
                <c:pt idx="4">
                  <c:v>2.41</c:v>
                </c:pt>
              </c:numCache>
            </c:numRef>
          </c:val>
        </c:ser>
        <c:dLbls>
          <c:showLegendKey val="0"/>
          <c:showVal val="0"/>
          <c:showCatName val="0"/>
          <c:showSerName val="0"/>
          <c:showPercent val="0"/>
          <c:showBubbleSize val="0"/>
        </c:dLbls>
        <c:gapWidth val="182"/>
        <c:axId val="359252872"/>
        <c:axId val="359255616"/>
      </c:barChart>
      <c:catAx>
        <c:axId val="359252872"/>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9255616"/>
        <c:crosses val="autoZero"/>
        <c:auto val="1"/>
        <c:lblAlgn val="ctr"/>
        <c:lblOffset val="100"/>
        <c:noMultiLvlLbl val="0"/>
      </c:catAx>
      <c:valAx>
        <c:axId val="359255616"/>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925287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0" i="0" u="none" strike="noStrike" baseline="0">
                <a:solidFill>
                  <a:srgbClr val="000000"/>
                </a:solidFill>
                <a:latin typeface="Arial"/>
                <a:ea typeface="Arial"/>
                <a:cs typeface="Arial"/>
              </a:defRPr>
            </a:pPr>
            <a:r>
              <a:rPr lang="en-US"/>
              <a:t>Coefficients for Educational Marriage market</a:t>
            </a:r>
          </a:p>
        </c:rich>
      </c:tx>
      <c:layout>
        <c:manualLayout>
          <c:xMode val="edge"/>
          <c:yMode val="edge"/>
          <c:x val="0.25"/>
          <c:y val="2.928873284757131E-2"/>
        </c:manualLayout>
      </c:layout>
      <c:overlay val="0"/>
      <c:spPr>
        <a:noFill/>
        <a:ln w="25400">
          <a:noFill/>
        </a:ln>
      </c:spPr>
    </c:title>
    <c:autoTitleDeleted val="0"/>
    <c:view3D>
      <c:rotX val="21"/>
      <c:hPercent val="100"/>
      <c:rotY val="35"/>
      <c:depthPercent val="100"/>
      <c:rAngAx val="0"/>
    </c:view3D>
    <c:floor>
      <c:thickness val="0"/>
      <c:spPr>
        <a:noFill/>
        <a:ln w="3175">
          <a:solidFill>
            <a:srgbClr val="000000"/>
          </a:solidFill>
          <a:prstDash val="solid"/>
        </a:ln>
      </c:spPr>
    </c:floor>
    <c:sideWall>
      <c:thickness val="0"/>
      <c:spPr>
        <a:noFill/>
        <a:ln w="3175">
          <a:solidFill>
            <a:srgbClr val="000000"/>
          </a:solidFill>
          <a:prstDash val="solid"/>
        </a:ln>
      </c:spPr>
    </c:sideWall>
    <c:backWall>
      <c:thickness val="0"/>
      <c:spPr>
        <a:noFill/>
        <a:ln w="3175">
          <a:solidFill>
            <a:srgbClr val="000000"/>
          </a:solidFill>
          <a:prstDash val="solid"/>
        </a:ln>
      </c:spPr>
    </c:backWall>
    <c:plotArea>
      <c:layout>
        <c:manualLayout>
          <c:layoutTarget val="inner"/>
          <c:xMode val="edge"/>
          <c:yMode val="edge"/>
          <c:x val="0.22626582278481014"/>
          <c:y val="0.12343108842905051"/>
          <c:w val="0.629746835443038"/>
          <c:h val="0.76150705403685404"/>
        </c:manualLayout>
      </c:layout>
      <c:bar3DChart>
        <c:barDir val="col"/>
        <c:grouping val="standard"/>
        <c:varyColors val="0"/>
        <c:ser>
          <c:idx val="0"/>
          <c:order val="0"/>
          <c:tx>
            <c:strRef>
              <c:f>'3D ed interactions'!$G$25</c:f>
              <c:strCache>
                <c:ptCount val="1"/>
                <c:pt idx="0">
                  <c:v>1</c:v>
                </c:pt>
              </c:strCache>
            </c:strRef>
          </c:tx>
          <c:spPr>
            <a:solidFill>
              <a:srgbClr val="FF0000"/>
            </a:solidFill>
            <a:ln w="12700">
              <a:solidFill>
                <a:srgbClr val="000000"/>
              </a:solidFill>
              <a:prstDash val="solid"/>
            </a:ln>
          </c:spPr>
          <c:invertIfNegative val="1"/>
          <c:cat>
            <c:numRef>
              <c:f>'3D ed interactions'!$H$24:$K$24</c:f>
              <c:numCache>
                <c:formatCode>General</c:formatCode>
                <c:ptCount val="4"/>
                <c:pt idx="0">
                  <c:v>1</c:v>
                </c:pt>
                <c:pt idx="1">
                  <c:v>2</c:v>
                </c:pt>
                <c:pt idx="2">
                  <c:v>3</c:v>
                </c:pt>
                <c:pt idx="3">
                  <c:v>4</c:v>
                </c:pt>
              </c:numCache>
            </c:numRef>
          </c:cat>
          <c:val>
            <c:numRef>
              <c:f>'3D ed interactions'!$H$25:$K$25</c:f>
              <c:numCache>
                <c:formatCode>General</c:formatCode>
                <c:ptCount val="4"/>
                <c:pt idx="0">
                  <c:v>0.78900000000000003</c:v>
                </c:pt>
                <c:pt idx="1">
                  <c:v>0</c:v>
                </c:pt>
                <c:pt idx="2">
                  <c:v>-1.04</c:v>
                </c:pt>
                <c:pt idx="3">
                  <c:v>-2.5790000000000002</c:v>
                </c:pt>
              </c:numCache>
            </c:numRef>
          </c:val>
          <c:extLst>
            <c:ext xmlns:c14="http://schemas.microsoft.com/office/drawing/2007/8/2/chart" uri="{6F2FDCE9-48DA-4B69-8628-5D25D57E5C99}">
              <c14:invertSolidFillFmt>
                <c14:spPr xmlns:c14="http://schemas.microsoft.com/office/drawing/2007/8/2/chart">
                  <a:solidFill>
                    <a:srgbClr val="FFFFFF"/>
                  </a:solidFill>
                  <a:ln w="12700">
                    <a:solidFill>
                      <a:srgbClr val="000000"/>
                    </a:solidFill>
                    <a:prstDash val="solid"/>
                  </a:ln>
                </c14:spPr>
              </c14:invertSolidFillFmt>
            </c:ext>
          </c:extLst>
        </c:ser>
        <c:ser>
          <c:idx val="1"/>
          <c:order val="1"/>
          <c:tx>
            <c:strRef>
              <c:f>'3D ed interactions'!$G$26</c:f>
              <c:strCache>
                <c:ptCount val="1"/>
                <c:pt idx="0">
                  <c:v>2</c:v>
                </c:pt>
              </c:strCache>
            </c:strRef>
          </c:tx>
          <c:spPr>
            <a:solidFill>
              <a:srgbClr val="FF0000"/>
            </a:solidFill>
            <a:ln w="12700">
              <a:solidFill>
                <a:srgbClr val="000000"/>
              </a:solidFill>
              <a:prstDash val="solid"/>
            </a:ln>
          </c:spPr>
          <c:invertIfNegative val="1"/>
          <c:cat>
            <c:numRef>
              <c:f>'3D ed interactions'!$H$24:$K$24</c:f>
              <c:numCache>
                <c:formatCode>General</c:formatCode>
                <c:ptCount val="4"/>
                <c:pt idx="0">
                  <c:v>1</c:v>
                </c:pt>
                <c:pt idx="1">
                  <c:v>2</c:v>
                </c:pt>
                <c:pt idx="2">
                  <c:v>3</c:v>
                </c:pt>
                <c:pt idx="3">
                  <c:v>4</c:v>
                </c:pt>
              </c:numCache>
            </c:numRef>
          </c:cat>
          <c:val>
            <c:numRef>
              <c:f>'3D ed interactions'!$H$26:$K$26</c:f>
              <c:numCache>
                <c:formatCode>General</c:formatCode>
                <c:ptCount val="4"/>
                <c:pt idx="0">
                  <c:v>4.7E-2</c:v>
                </c:pt>
                <c:pt idx="1">
                  <c:v>0.79800000000000004</c:v>
                </c:pt>
                <c:pt idx="2">
                  <c:v>0</c:v>
                </c:pt>
                <c:pt idx="3">
                  <c:v>-1.04</c:v>
                </c:pt>
              </c:numCache>
            </c:numRef>
          </c:val>
          <c:extLst>
            <c:ext xmlns:c14="http://schemas.microsoft.com/office/drawing/2007/8/2/chart" uri="{6F2FDCE9-48DA-4B69-8628-5D25D57E5C99}">
              <c14:invertSolidFillFmt>
                <c14:spPr xmlns:c14="http://schemas.microsoft.com/office/drawing/2007/8/2/chart">
                  <a:solidFill>
                    <a:srgbClr val="FFFFFF"/>
                  </a:solidFill>
                  <a:ln w="12700">
                    <a:solidFill>
                      <a:srgbClr val="000000"/>
                    </a:solidFill>
                    <a:prstDash val="solid"/>
                  </a:ln>
                </c14:spPr>
              </c14:invertSolidFillFmt>
            </c:ext>
          </c:extLst>
        </c:ser>
        <c:ser>
          <c:idx val="2"/>
          <c:order val="2"/>
          <c:tx>
            <c:strRef>
              <c:f>'3D ed interactions'!$G$27</c:f>
              <c:strCache>
                <c:ptCount val="1"/>
                <c:pt idx="0">
                  <c:v>3</c:v>
                </c:pt>
              </c:strCache>
            </c:strRef>
          </c:tx>
          <c:spPr>
            <a:solidFill>
              <a:srgbClr val="FF0000"/>
            </a:solidFill>
            <a:ln w="12700">
              <a:solidFill>
                <a:srgbClr val="000000"/>
              </a:solidFill>
              <a:prstDash val="solid"/>
            </a:ln>
          </c:spPr>
          <c:invertIfNegative val="1"/>
          <c:cat>
            <c:numRef>
              <c:f>'3D ed interactions'!$H$24:$K$24</c:f>
              <c:numCache>
                <c:formatCode>General</c:formatCode>
                <c:ptCount val="4"/>
                <c:pt idx="0">
                  <c:v>1</c:v>
                </c:pt>
                <c:pt idx="1">
                  <c:v>2</c:v>
                </c:pt>
                <c:pt idx="2">
                  <c:v>3</c:v>
                </c:pt>
                <c:pt idx="3">
                  <c:v>4</c:v>
                </c:pt>
              </c:numCache>
            </c:numRef>
          </c:cat>
          <c:val>
            <c:numRef>
              <c:f>'3D ed interactions'!$H$27:$K$27</c:f>
              <c:numCache>
                <c:formatCode>General</c:formatCode>
                <c:ptCount val="4"/>
                <c:pt idx="0" formatCode="0.000">
                  <c:v>-1.04</c:v>
                </c:pt>
                <c:pt idx="1">
                  <c:v>4.7E-2</c:v>
                </c:pt>
                <c:pt idx="2">
                  <c:v>0.63100000000000001</c:v>
                </c:pt>
                <c:pt idx="3">
                  <c:v>0</c:v>
                </c:pt>
              </c:numCache>
            </c:numRef>
          </c:val>
          <c:extLst>
            <c:ext xmlns:c14="http://schemas.microsoft.com/office/drawing/2007/8/2/chart" uri="{6F2FDCE9-48DA-4B69-8628-5D25D57E5C99}">
              <c14:invertSolidFillFmt>
                <c14:spPr xmlns:c14="http://schemas.microsoft.com/office/drawing/2007/8/2/chart">
                  <a:solidFill>
                    <a:srgbClr val="FFFFFF"/>
                  </a:solidFill>
                  <a:ln w="12700">
                    <a:solidFill>
                      <a:srgbClr val="000000"/>
                    </a:solidFill>
                    <a:prstDash val="solid"/>
                  </a:ln>
                </c14:spPr>
              </c14:invertSolidFillFmt>
            </c:ext>
          </c:extLst>
        </c:ser>
        <c:ser>
          <c:idx val="3"/>
          <c:order val="3"/>
          <c:tx>
            <c:strRef>
              <c:f>'3D ed interactions'!$G$28</c:f>
              <c:strCache>
                <c:ptCount val="1"/>
                <c:pt idx="0">
                  <c:v>4</c:v>
                </c:pt>
              </c:strCache>
            </c:strRef>
          </c:tx>
          <c:spPr>
            <a:solidFill>
              <a:srgbClr val="FF0000"/>
            </a:solidFill>
            <a:ln w="12700">
              <a:solidFill>
                <a:srgbClr val="000000"/>
              </a:solidFill>
              <a:prstDash val="solid"/>
            </a:ln>
          </c:spPr>
          <c:invertIfNegative val="1"/>
          <c:cat>
            <c:numRef>
              <c:f>'3D ed interactions'!$H$24:$K$24</c:f>
              <c:numCache>
                <c:formatCode>General</c:formatCode>
                <c:ptCount val="4"/>
                <c:pt idx="0">
                  <c:v>1</c:v>
                </c:pt>
                <c:pt idx="1">
                  <c:v>2</c:v>
                </c:pt>
                <c:pt idx="2">
                  <c:v>3</c:v>
                </c:pt>
                <c:pt idx="3">
                  <c:v>4</c:v>
                </c:pt>
              </c:numCache>
            </c:numRef>
          </c:cat>
          <c:val>
            <c:numRef>
              <c:f>'3D ed interactions'!$H$28:$K$28</c:f>
              <c:numCache>
                <c:formatCode>General</c:formatCode>
                <c:ptCount val="4"/>
                <c:pt idx="0">
                  <c:v>-2.843</c:v>
                </c:pt>
                <c:pt idx="1">
                  <c:v>-1.04</c:v>
                </c:pt>
                <c:pt idx="2">
                  <c:v>4.7E-2</c:v>
                </c:pt>
                <c:pt idx="3">
                  <c:v>1.22</c:v>
                </c:pt>
              </c:numCache>
            </c:numRef>
          </c:val>
          <c:extLst>
            <c:ext xmlns:c14="http://schemas.microsoft.com/office/drawing/2007/8/2/chart" uri="{6F2FDCE9-48DA-4B69-8628-5D25D57E5C99}">
              <c14:invertSolidFillFmt>
                <c14:spPr xmlns:c14="http://schemas.microsoft.com/office/drawing/2007/8/2/chart">
                  <a:solidFill>
                    <a:srgbClr val="FFFFFF"/>
                  </a:solidFill>
                  <a:ln w="12700">
                    <a:solidFill>
                      <a:srgbClr val="000000"/>
                    </a:solidFill>
                    <a:prstDash val="solid"/>
                  </a:ln>
                </c14:spPr>
              </c14:invertSolidFillFmt>
            </c:ext>
          </c:extLst>
        </c:ser>
        <c:dLbls>
          <c:showLegendKey val="0"/>
          <c:showVal val="0"/>
          <c:showCatName val="0"/>
          <c:showSerName val="0"/>
          <c:showPercent val="0"/>
          <c:showBubbleSize val="0"/>
        </c:dLbls>
        <c:gapWidth val="150"/>
        <c:shape val="box"/>
        <c:axId val="359252088"/>
        <c:axId val="359254832"/>
        <c:axId val="359417656"/>
      </c:bar3DChart>
      <c:catAx>
        <c:axId val="359252088"/>
        <c:scaling>
          <c:orientation val="minMax"/>
        </c:scaling>
        <c:delete val="0"/>
        <c:axPos val="b"/>
        <c:title>
          <c:tx>
            <c:rich>
              <a:bodyPr/>
              <a:lstStyle/>
              <a:p>
                <a:pPr>
                  <a:defRPr sz="900" b="0" i="0" u="none" strike="noStrike" baseline="0">
                    <a:solidFill>
                      <a:srgbClr val="000000"/>
                    </a:solidFill>
                    <a:latin typeface="Arial"/>
                    <a:ea typeface="Arial"/>
                    <a:cs typeface="Arial"/>
                  </a:defRPr>
                </a:pPr>
                <a:r>
                  <a:rPr lang="en-US"/>
                  <a:t>Wife's education</a:t>
                </a:r>
              </a:p>
            </c:rich>
          </c:tx>
          <c:layout>
            <c:manualLayout>
              <c:xMode val="edge"/>
              <c:yMode val="edge"/>
              <c:x val="0.24050632911392406"/>
              <c:y val="0.87238582838837397"/>
            </c:manualLayout>
          </c:layout>
          <c:overlay val="0"/>
          <c:spPr>
            <a:noFill/>
            <a:ln w="25400">
              <a:noFill/>
            </a:ln>
          </c:spPr>
        </c:title>
        <c:numFmt formatCode="General" sourceLinked="1"/>
        <c:majorTickMark val="out"/>
        <c:minorTickMark val="none"/>
        <c:tickLblPos val="low"/>
        <c:spPr>
          <a:ln w="3175">
            <a:solidFill>
              <a:srgbClr val="000000"/>
            </a:solidFill>
            <a:prstDash val="solid"/>
          </a:ln>
        </c:spPr>
        <c:txPr>
          <a:bodyPr rot="0" vert="horz"/>
          <a:lstStyle/>
          <a:p>
            <a:pPr>
              <a:defRPr sz="1525" b="0" i="0" u="none" strike="noStrike" baseline="0">
                <a:solidFill>
                  <a:srgbClr val="000000"/>
                </a:solidFill>
                <a:latin typeface="Arial"/>
                <a:ea typeface="Arial"/>
                <a:cs typeface="Arial"/>
              </a:defRPr>
            </a:pPr>
            <a:endParaRPr lang="en-US"/>
          </a:p>
        </c:txPr>
        <c:crossAx val="359254832"/>
        <c:crosses val="autoZero"/>
        <c:auto val="1"/>
        <c:lblAlgn val="ctr"/>
        <c:lblOffset val="100"/>
        <c:tickLblSkip val="1"/>
        <c:tickMarkSkip val="1"/>
        <c:noMultiLvlLbl val="1"/>
      </c:catAx>
      <c:valAx>
        <c:axId val="359254832"/>
        <c:scaling>
          <c:orientation val="minMax"/>
          <c:max val="3"/>
        </c:scaling>
        <c:delete val="0"/>
        <c:axPos val="l"/>
        <c:majorGridlines>
          <c:spPr>
            <a:ln w="3175">
              <a:solidFill>
                <a:srgbClr val="000000"/>
              </a:solidFill>
              <a:prstDash val="solid"/>
            </a:ln>
          </c:spPr>
        </c:majorGridlines>
        <c:title>
          <c:tx>
            <c:rich>
              <a:bodyPr rot="0" vert="horz"/>
              <a:lstStyle/>
              <a:p>
                <a:pPr algn="ctr">
                  <a:defRPr sz="900" b="1" i="0" u="none" strike="noStrike" baseline="0">
                    <a:solidFill>
                      <a:srgbClr val="000000"/>
                    </a:solidFill>
                    <a:latin typeface="Arial"/>
                    <a:ea typeface="Arial"/>
                    <a:cs typeface="Arial"/>
                  </a:defRPr>
                </a:pPr>
                <a:r>
                  <a:rPr lang="en-US"/>
                  <a:t>relative log odds ratio</a:t>
                </a:r>
              </a:p>
            </c:rich>
          </c:tx>
          <c:layout>
            <c:manualLayout>
              <c:xMode val="edge"/>
              <c:yMode val="edge"/>
              <c:x val="5.8544303797468354E-2"/>
              <c:y val="0.45188330679110017"/>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1525" b="0" i="0" u="none" strike="noStrike" baseline="0">
                <a:solidFill>
                  <a:srgbClr val="000000"/>
                </a:solidFill>
                <a:latin typeface="Arial"/>
                <a:ea typeface="Arial"/>
                <a:cs typeface="Arial"/>
              </a:defRPr>
            </a:pPr>
            <a:endParaRPr lang="en-US"/>
          </a:p>
        </c:txPr>
        <c:crossAx val="359252088"/>
        <c:crosses val="autoZero"/>
        <c:crossBetween val="between"/>
      </c:valAx>
      <c:serAx>
        <c:axId val="359417656"/>
        <c:scaling>
          <c:orientation val="maxMin"/>
        </c:scaling>
        <c:delete val="0"/>
        <c:axPos val="b"/>
        <c:title>
          <c:tx>
            <c:rich>
              <a:bodyPr/>
              <a:lstStyle/>
              <a:p>
                <a:pPr>
                  <a:defRPr sz="900" b="0" i="0" u="none" strike="noStrike" baseline="0">
                    <a:solidFill>
                      <a:srgbClr val="000000"/>
                    </a:solidFill>
                    <a:latin typeface="Arial"/>
                    <a:ea typeface="Arial"/>
                    <a:cs typeface="Arial"/>
                  </a:defRPr>
                </a:pPr>
                <a:r>
                  <a:rPr lang="en-US"/>
                  <a:t>Husband's education</a:t>
                </a:r>
              </a:p>
            </c:rich>
          </c:tx>
          <c:layout>
            <c:manualLayout>
              <c:xMode val="edge"/>
              <c:yMode val="edge"/>
              <c:x val="0.78006329113924056"/>
              <c:y val="0.81171631034697633"/>
            </c:manualLayout>
          </c:layout>
          <c:overlay val="0"/>
          <c:spPr>
            <a:noFill/>
            <a:ln w="25400">
              <a:noFill/>
            </a:ln>
          </c:spPr>
        </c:title>
        <c:numFmt formatCode="General" sourceLinked="1"/>
        <c:majorTickMark val="out"/>
        <c:minorTickMark val="none"/>
        <c:tickLblPos val="low"/>
        <c:spPr>
          <a:ln w="3175">
            <a:solidFill>
              <a:srgbClr val="000000"/>
            </a:solidFill>
            <a:prstDash val="solid"/>
          </a:ln>
        </c:spPr>
        <c:txPr>
          <a:bodyPr rot="0" vert="horz"/>
          <a:lstStyle/>
          <a:p>
            <a:pPr>
              <a:defRPr sz="1525" b="0" i="0" u="none" strike="noStrike" baseline="0">
                <a:solidFill>
                  <a:srgbClr val="000000"/>
                </a:solidFill>
                <a:latin typeface="Arial"/>
                <a:ea typeface="Arial"/>
                <a:cs typeface="Arial"/>
              </a:defRPr>
            </a:pPr>
            <a:endParaRPr lang="en-US"/>
          </a:p>
        </c:txPr>
        <c:crossAx val="359254832"/>
        <c:crosses val="autoZero"/>
        <c:tickLblSkip val="1"/>
        <c:tickMarkSkip val="1"/>
      </c:ser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1525"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0" i="0" u="none" strike="noStrike" baseline="0">
                <a:solidFill>
                  <a:srgbClr val="000000"/>
                </a:solidFill>
                <a:latin typeface="Arial"/>
                <a:ea typeface="Arial"/>
                <a:cs typeface="Arial"/>
              </a:defRPr>
            </a:pPr>
            <a:r>
              <a:rPr lang="en-US"/>
              <a:t>Coefficients for Educational Marriage market</a:t>
            </a:r>
          </a:p>
        </c:rich>
      </c:tx>
      <c:layout>
        <c:manualLayout>
          <c:xMode val="edge"/>
          <c:yMode val="edge"/>
          <c:x val="0.19615403034295217"/>
          <c:y val="2.9350164910420168E-2"/>
        </c:manualLayout>
      </c:layout>
      <c:overlay val="0"/>
      <c:spPr>
        <a:noFill/>
        <a:ln w="25400">
          <a:noFill/>
        </a:ln>
      </c:spPr>
    </c:title>
    <c:autoTitleDeleted val="0"/>
    <c:view3D>
      <c:rotX val="21"/>
      <c:hPercent val="100"/>
      <c:rotY val="35"/>
      <c:depthPercent val="100"/>
      <c:rAngAx val="0"/>
    </c:view3D>
    <c:floor>
      <c:thickness val="0"/>
      <c:spPr>
        <a:noFill/>
        <a:ln w="3175">
          <a:solidFill>
            <a:srgbClr val="000000"/>
          </a:solidFill>
          <a:prstDash val="solid"/>
        </a:ln>
      </c:spPr>
    </c:floor>
    <c:sideWall>
      <c:thickness val="0"/>
      <c:spPr>
        <a:noFill/>
        <a:ln w="3175">
          <a:solidFill>
            <a:srgbClr val="000000"/>
          </a:solidFill>
          <a:prstDash val="solid"/>
        </a:ln>
      </c:spPr>
    </c:sideWall>
    <c:backWall>
      <c:thickness val="0"/>
      <c:spPr>
        <a:noFill/>
        <a:ln w="3175">
          <a:solidFill>
            <a:srgbClr val="000000"/>
          </a:solidFill>
          <a:prstDash val="solid"/>
        </a:ln>
      </c:spPr>
    </c:backWall>
    <c:plotArea>
      <c:layout>
        <c:manualLayout>
          <c:layoutTarget val="inner"/>
          <c:xMode val="edge"/>
          <c:yMode val="edge"/>
          <c:x val="0.32692338390492026"/>
          <c:y val="0.12368998069391357"/>
          <c:w val="0.55000051645180703"/>
          <c:h val="0.77777937012613452"/>
        </c:manualLayout>
      </c:layout>
      <c:bar3DChart>
        <c:barDir val="col"/>
        <c:grouping val="standard"/>
        <c:varyColors val="0"/>
        <c:ser>
          <c:idx val="0"/>
          <c:order val="0"/>
          <c:tx>
            <c:strRef>
              <c:f>'3D ed interactions'!$G$25</c:f>
              <c:strCache>
                <c:ptCount val="1"/>
                <c:pt idx="0">
                  <c:v>1</c:v>
                </c:pt>
              </c:strCache>
            </c:strRef>
          </c:tx>
          <c:spPr>
            <a:solidFill>
              <a:srgbClr val="FF0000"/>
            </a:solidFill>
            <a:ln w="12700">
              <a:solidFill>
                <a:srgbClr val="000000"/>
              </a:solidFill>
              <a:prstDash val="solid"/>
            </a:ln>
          </c:spPr>
          <c:invertIfNegative val="1"/>
          <c:cat>
            <c:numRef>
              <c:f>'3D ed interactions'!$H$24:$K$24</c:f>
              <c:numCache>
                <c:formatCode>General</c:formatCode>
                <c:ptCount val="4"/>
                <c:pt idx="0">
                  <c:v>1</c:v>
                </c:pt>
                <c:pt idx="1">
                  <c:v>2</c:v>
                </c:pt>
                <c:pt idx="2">
                  <c:v>3</c:v>
                </c:pt>
                <c:pt idx="3">
                  <c:v>4</c:v>
                </c:pt>
              </c:numCache>
            </c:numRef>
          </c:cat>
          <c:val>
            <c:numRef>
              <c:f>'3D ed interactions'!$H$38:$K$38</c:f>
              <c:numCache>
                <c:formatCode>0.000</c:formatCode>
                <c:ptCount val="4"/>
                <c:pt idx="0">
                  <c:v>1.1641875000000002</c:v>
                </c:pt>
                <c:pt idx="1">
                  <c:v>0.37518750000000001</c:v>
                </c:pt>
                <c:pt idx="2">
                  <c:v>-0.66481250000000003</c:v>
                </c:pt>
                <c:pt idx="3">
                  <c:v>-2.2038125000000002</c:v>
                </c:pt>
              </c:numCache>
            </c:numRef>
          </c:val>
          <c:extLst>
            <c:ext xmlns:c14="http://schemas.microsoft.com/office/drawing/2007/8/2/chart" uri="{6F2FDCE9-48DA-4B69-8628-5D25D57E5C99}">
              <c14:invertSolidFillFmt>
                <c14:spPr xmlns:c14="http://schemas.microsoft.com/office/drawing/2007/8/2/chart">
                  <a:solidFill>
                    <a:srgbClr val="FFFFFF"/>
                  </a:solidFill>
                  <a:ln w="12700">
                    <a:solidFill>
                      <a:srgbClr val="000000"/>
                    </a:solidFill>
                    <a:prstDash val="solid"/>
                  </a:ln>
                </c14:spPr>
              </c14:invertSolidFillFmt>
            </c:ext>
          </c:extLst>
        </c:ser>
        <c:ser>
          <c:idx val="1"/>
          <c:order val="1"/>
          <c:tx>
            <c:strRef>
              <c:f>'3D ed interactions'!$G$26</c:f>
              <c:strCache>
                <c:ptCount val="1"/>
                <c:pt idx="0">
                  <c:v>2</c:v>
                </c:pt>
              </c:strCache>
            </c:strRef>
          </c:tx>
          <c:spPr>
            <a:solidFill>
              <a:srgbClr val="FF0000"/>
            </a:solidFill>
            <a:ln w="12700">
              <a:solidFill>
                <a:srgbClr val="000000"/>
              </a:solidFill>
              <a:prstDash val="solid"/>
            </a:ln>
          </c:spPr>
          <c:invertIfNegative val="1"/>
          <c:cat>
            <c:numRef>
              <c:f>'3D ed interactions'!$H$24:$K$24</c:f>
              <c:numCache>
                <c:formatCode>General</c:formatCode>
                <c:ptCount val="4"/>
                <c:pt idx="0">
                  <c:v>1</c:v>
                </c:pt>
                <c:pt idx="1">
                  <c:v>2</c:v>
                </c:pt>
                <c:pt idx="2">
                  <c:v>3</c:v>
                </c:pt>
                <c:pt idx="3">
                  <c:v>4</c:v>
                </c:pt>
              </c:numCache>
            </c:numRef>
          </c:cat>
          <c:val>
            <c:numRef>
              <c:f>'3D ed interactions'!$H$39:$K$39</c:f>
              <c:numCache>
                <c:formatCode>0.000</c:formatCode>
                <c:ptCount val="4"/>
                <c:pt idx="0">
                  <c:v>0.42218749999999999</c:v>
                </c:pt>
                <c:pt idx="1">
                  <c:v>1.1731875</c:v>
                </c:pt>
                <c:pt idx="2">
                  <c:v>0.37518750000000001</c:v>
                </c:pt>
                <c:pt idx="3">
                  <c:v>-0.66481250000000003</c:v>
                </c:pt>
              </c:numCache>
            </c:numRef>
          </c:val>
          <c:extLst>
            <c:ext xmlns:c14="http://schemas.microsoft.com/office/drawing/2007/8/2/chart" uri="{6F2FDCE9-48DA-4B69-8628-5D25D57E5C99}">
              <c14:invertSolidFillFmt>
                <c14:spPr xmlns:c14="http://schemas.microsoft.com/office/drawing/2007/8/2/chart">
                  <a:solidFill>
                    <a:srgbClr val="FFFFFF"/>
                  </a:solidFill>
                  <a:ln w="12700">
                    <a:solidFill>
                      <a:srgbClr val="000000"/>
                    </a:solidFill>
                    <a:prstDash val="solid"/>
                  </a:ln>
                </c14:spPr>
              </c14:invertSolidFillFmt>
            </c:ext>
          </c:extLst>
        </c:ser>
        <c:ser>
          <c:idx val="2"/>
          <c:order val="2"/>
          <c:tx>
            <c:strRef>
              <c:f>'3D ed interactions'!$G$27</c:f>
              <c:strCache>
                <c:ptCount val="1"/>
                <c:pt idx="0">
                  <c:v>3</c:v>
                </c:pt>
              </c:strCache>
            </c:strRef>
          </c:tx>
          <c:spPr>
            <a:solidFill>
              <a:srgbClr val="FF0000"/>
            </a:solidFill>
            <a:ln w="12700">
              <a:solidFill>
                <a:srgbClr val="000000"/>
              </a:solidFill>
              <a:prstDash val="solid"/>
            </a:ln>
          </c:spPr>
          <c:invertIfNegative val="1"/>
          <c:cat>
            <c:numRef>
              <c:f>'3D ed interactions'!$H$24:$K$24</c:f>
              <c:numCache>
                <c:formatCode>General</c:formatCode>
                <c:ptCount val="4"/>
                <c:pt idx="0">
                  <c:v>1</c:v>
                </c:pt>
                <c:pt idx="1">
                  <c:v>2</c:v>
                </c:pt>
                <c:pt idx="2">
                  <c:v>3</c:v>
                </c:pt>
                <c:pt idx="3">
                  <c:v>4</c:v>
                </c:pt>
              </c:numCache>
            </c:numRef>
          </c:cat>
          <c:val>
            <c:numRef>
              <c:f>'3D ed interactions'!$H$40:$K$40</c:f>
              <c:numCache>
                <c:formatCode>0.000</c:formatCode>
                <c:ptCount val="4"/>
                <c:pt idx="0">
                  <c:v>-0.66481250000000003</c:v>
                </c:pt>
                <c:pt idx="1">
                  <c:v>0.42218749999999999</c:v>
                </c:pt>
                <c:pt idx="2">
                  <c:v>1.0061875</c:v>
                </c:pt>
                <c:pt idx="3">
                  <c:v>0.37518750000000001</c:v>
                </c:pt>
              </c:numCache>
            </c:numRef>
          </c:val>
          <c:extLst>
            <c:ext xmlns:c14="http://schemas.microsoft.com/office/drawing/2007/8/2/chart" uri="{6F2FDCE9-48DA-4B69-8628-5D25D57E5C99}">
              <c14:invertSolidFillFmt>
                <c14:spPr xmlns:c14="http://schemas.microsoft.com/office/drawing/2007/8/2/chart">
                  <a:solidFill>
                    <a:srgbClr val="FFFFFF"/>
                  </a:solidFill>
                  <a:ln w="12700">
                    <a:solidFill>
                      <a:srgbClr val="000000"/>
                    </a:solidFill>
                    <a:prstDash val="solid"/>
                  </a:ln>
                </c14:spPr>
              </c14:invertSolidFillFmt>
            </c:ext>
          </c:extLst>
        </c:ser>
        <c:ser>
          <c:idx val="3"/>
          <c:order val="3"/>
          <c:tx>
            <c:strRef>
              <c:f>'3D ed interactions'!$G$28</c:f>
              <c:strCache>
                <c:ptCount val="1"/>
                <c:pt idx="0">
                  <c:v>4</c:v>
                </c:pt>
              </c:strCache>
            </c:strRef>
          </c:tx>
          <c:spPr>
            <a:solidFill>
              <a:srgbClr val="FF0000"/>
            </a:solidFill>
            <a:ln w="12700">
              <a:solidFill>
                <a:srgbClr val="000000"/>
              </a:solidFill>
              <a:prstDash val="solid"/>
            </a:ln>
          </c:spPr>
          <c:invertIfNegative val="1"/>
          <c:cat>
            <c:numRef>
              <c:f>'3D ed interactions'!$H$24:$K$24</c:f>
              <c:numCache>
                <c:formatCode>General</c:formatCode>
                <c:ptCount val="4"/>
                <c:pt idx="0">
                  <c:v>1</c:v>
                </c:pt>
                <c:pt idx="1">
                  <c:v>2</c:v>
                </c:pt>
                <c:pt idx="2">
                  <c:v>3</c:v>
                </c:pt>
                <c:pt idx="3">
                  <c:v>4</c:v>
                </c:pt>
              </c:numCache>
            </c:numRef>
          </c:cat>
          <c:val>
            <c:numRef>
              <c:f>'3D ed interactions'!$H$41:$K$41</c:f>
              <c:numCache>
                <c:formatCode>0.000</c:formatCode>
                <c:ptCount val="4"/>
                <c:pt idx="0">
                  <c:v>-2.4678125</c:v>
                </c:pt>
                <c:pt idx="1">
                  <c:v>-0.66481250000000003</c:v>
                </c:pt>
                <c:pt idx="2">
                  <c:v>0.42218749999999999</c:v>
                </c:pt>
                <c:pt idx="3">
                  <c:v>1.5951875</c:v>
                </c:pt>
              </c:numCache>
            </c:numRef>
          </c:val>
          <c:extLst>
            <c:ext xmlns:c14="http://schemas.microsoft.com/office/drawing/2007/8/2/chart" uri="{6F2FDCE9-48DA-4B69-8628-5D25D57E5C99}">
              <c14:invertSolidFillFmt>
                <c14:spPr xmlns:c14="http://schemas.microsoft.com/office/drawing/2007/8/2/chart">
                  <a:solidFill>
                    <a:srgbClr val="FFFFFF"/>
                  </a:solidFill>
                  <a:ln w="12700">
                    <a:solidFill>
                      <a:srgbClr val="000000"/>
                    </a:solidFill>
                    <a:prstDash val="solid"/>
                  </a:ln>
                </c14:spPr>
              </c14:invertSolidFillFmt>
            </c:ext>
          </c:extLst>
        </c:ser>
        <c:dLbls>
          <c:showLegendKey val="0"/>
          <c:showVal val="0"/>
          <c:showCatName val="0"/>
          <c:showSerName val="0"/>
          <c:showPercent val="0"/>
          <c:showBubbleSize val="0"/>
        </c:dLbls>
        <c:gapWidth val="150"/>
        <c:shape val="box"/>
        <c:axId val="359251304"/>
        <c:axId val="359252480"/>
        <c:axId val="362858656"/>
      </c:bar3DChart>
      <c:catAx>
        <c:axId val="359251304"/>
        <c:scaling>
          <c:orientation val="minMax"/>
        </c:scaling>
        <c:delete val="0"/>
        <c:axPos val="b"/>
        <c:title>
          <c:tx>
            <c:rich>
              <a:bodyPr/>
              <a:lstStyle/>
              <a:p>
                <a:pPr>
                  <a:defRPr sz="900" b="0" i="0" u="none" strike="noStrike" baseline="0">
                    <a:solidFill>
                      <a:srgbClr val="000000"/>
                    </a:solidFill>
                    <a:latin typeface="Arial"/>
                    <a:ea typeface="Arial"/>
                    <a:cs typeface="Arial"/>
                  </a:defRPr>
                </a:pPr>
                <a:r>
                  <a:rPr lang="en-US"/>
                  <a:t>Wife's education</a:t>
                </a:r>
              </a:p>
            </c:rich>
          </c:tx>
          <c:layout>
            <c:manualLayout>
              <c:xMode val="edge"/>
              <c:yMode val="edge"/>
              <c:x val="0.28269257314131341"/>
              <c:y val="0.7987437736335774"/>
            </c:manualLayout>
          </c:layout>
          <c:overlay val="0"/>
          <c:spPr>
            <a:noFill/>
            <a:ln w="25400">
              <a:noFill/>
            </a:ln>
          </c:spPr>
        </c:title>
        <c:numFmt formatCode="General" sourceLinked="1"/>
        <c:majorTickMark val="out"/>
        <c:minorTickMark val="none"/>
        <c:tickLblPos val="low"/>
        <c:spPr>
          <a:ln w="3175">
            <a:solidFill>
              <a:srgbClr val="000000"/>
            </a:solidFill>
            <a:prstDash val="solid"/>
          </a:ln>
        </c:spPr>
        <c:txPr>
          <a:bodyPr rot="0" vert="horz"/>
          <a:lstStyle/>
          <a:p>
            <a:pPr>
              <a:defRPr sz="1200" b="0" i="0" u="none" strike="noStrike" baseline="0">
                <a:solidFill>
                  <a:srgbClr val="000000"/>
                </a:solidFill>
                <a:latin typeface="Arial"/>
                <a:ea typeface="Arial"/>
                <a:cs typeface="Arial"/>
              </a:defRPr>
            </a:pPr>
            <a:endParaRPr lang="en-US"/>
          </a:p>
        </c:txPr>
        <c:crossAx val="359252480"/>
        <c:crosses val="autoZero"/>
        <c:auto val="1"/>
        <c:lblAlgn val="ctr"/>
        <c:lblOffset val="100"/>
        <c:tickLblSkip val="1"/>
        <c:tickMarkSkip val="1"/>
        <c:noMultiLvlLbl val="1"/>
      </c:catAx>
      <c:valAx>
        <c:axId val="359252480"/>
        <c:scaling>
          <c:orientation val="minMax"/>
          <c:max val="3"/>
        </c:scaling>
        <c:delete val="0"/>
        <c:axPos val="l"/>
        <c:majorGridlines>
          <c:spPr>
            <a:ln w="3175">
              <a:solidFill>
                <a:srgbClr val="000000"/>
              </a:solidFill>
              <a:prstDash val="solid"/>
            </a:ln>
          </c:spPr>
        </c:majorGridlines>
        <c:title>
          <c:tx>
            <c:rich>
              <a:bodyPr rot="0" vert="horz"/>
              <a:lstStyle/>
              <a:p>
                <a:pPr algn="ctr">
                  <a:defRPr sz="900" b="1" i="0" u="none" strike="noStrike" baseline="0">
                    <a:solidFill>
                      <a:srgbClr val="000000"/>
                    </a:solidFill>
                    <a:latin typeface="Arial"/>
                    <a:ea typeface="Arial"/>
                    <a:cs typeface="Arial"/>
                  </a:defRPr>
                </a:pPr>
                <a:r>
                  <a:rPr lang="en-US"/>
                  <a:t>relative log odds ratio, sum to zero</a:t>
                </a:r>
              </a:p>
            </c:rich>
          </c:tx>
          <c:layout>
            <c:manualLayout>
              <c:xMode val="edge"/>
              <c:yMode val="edge"/>
              <c:x val="3.6538495848196975E-2"/>
              <c:y val="0.44234891400704685"/>
            </c:manualLayout>
          </c:layout>
          <c:overlay val="0"/>
          <c:spPr>
            <a:noFill/>
            <a:ln w="25400">
              <a:noFill/>
            </a:ln>
          </c:spPr>
        </c:title>
        <c:numFmt formatCode="0.000" sourceLinked="1"/>
        <c:majorTickMark val="out"/>
        <c:minorTickMark val="none"/>
        <c:tickLblPos val="nextTo"/>
        <c:spPr>
          <a:ln w="3175">
            <a:solidFill>
              <a:srgbClr val="000000"/>
            </a:solidFill>
            <a:prstDash val="solid"/>
          </a:ln>
        </c:spPr>
        <c:txPr>
          <a:bodyPr rot="0" vert="horz"/>
          <a:lstStyle/>
          <a:p>
            <a:pPr>
              <a:defRPr sz="1200" b="0" i="0" u="none" strike="noStrike" baseline="0">
                <a:solidFill>
                  <a:srgbClr val="000000"/>
                </a:solidFill>
                <a:latin typeface="Arial"/>
                <a:ea typeface="Arial"/>
                <a:cs typeface="Arial"/>
              </a:defRPr>
            </a:pPr>
            <a:endParaRPr lang="en-US"/>
          </a:p>
        </c:txPr>
        <c:crossAx val="359251304"/>
        <c:crosses val="autoZero"/>
        <c:crossBetween val="between"/>
      </c:valAx>
      <c:serAx>
        <c:axId val="362858656"/>
        <c:scaling>
          <c:orientation val="maxMin"/>
        </c:scaling>
        <c:delete val="0"/>
        <c:axPos val="b"/>
        <c:title>
          <c:tx>
            <c:rich>
              <a:bodyPr/>
              <a:lstStyle/>
              <a:p>
                <a:pPr>
                  <a:defRPr sz="900" b="0" i="0" u="none" strike="noStrike" baseline="0">
                    <a:solidFill>
                      <a:srgbClr val="000000"/>
                    </a:solidFill>
                    <a:latin typeface="Arial"/>
                    <a:ea typeface="Arial"/>
                    <a:cs typeface="Arial"/>
                  </a:defRPr>
                </a:pPr>
                <a:r>
                  <a:rPr lang="en-US"/>
                  <a:t>Husband's education</a:t>
                </a:r>
              </a:p>
            </c:rich>
          </c:tx>
          <c:layout>
            <c:manualLayout>
              <c:xMode val="edge"/>
              <c:yMode val="edge"/>
              <c:x val="0.85961619179705506"/>
              <c:y val="0.72536836135752703"/>
            </c:manualLayout>
          </c:layout>
          <c:overlay val="0"/>
          <c:spPr>
            <a:noFill/>
            <a:ln w="25400">
              <a:noFill/>
            </a:ln>
          </c:spPr>
        </c:title>
        <c:numFmt formatCode="General" sourceLinked="1"/>
        <c:majorTickMark val="out"/>
        <c:minorTickMark val="none"/>
        <c:tickLblPos val="low"/>
        <c:spPr>
          <a:ln w="3175">
            <a:solidFill>
              <a:srgbClr val="000000"/>
            </a:solidFill>
            <a:prstDash val="solid"/>
          </a:ln>
        </c:spPr>
        <c:txPr>
          <a:bodyPr rot="0" vert="horz"/>
          <a:lstStyle/>
          <a:p>
            <a:pPr>
              <a:defRPr sz="1200" b="0" i="0" u="none" strike="noStrike" baseline="0">
                <a:solidFill>
                  <a:srgbClr val="000000"/>
                </a:solidFill>
                <a:latin typeface="Arial"/>
                <a:ea typeface="Arial"/>
                <a:cs typeface="Arial"/>
              </a:defRPr>
            </a:pPr>
            <a:endParaRPr lang="en-US"/>
          </a:p>
        </c:txPr>
        <c:crossAx val="359252480"/>
        <c:crosses val="autoZero"/>
        <c:tickLblSkip val="1"/>
        <c:tickMarkSkip val="1"/>
      </c:ser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12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Arial"/>
                <a:ea typeface="Arial"/>
                <a:cs typeface="Arial"/>
              </a:defRPr>
            </a:pPr>
            <a:r>
              <a:rPr lang="en-US"/>
              <a:t>1990 US Natives</a:t>
            </a:r>
          </a:p>
        </c:rich>
      </c:tx>
      <c:layout>
        <c:manualLayout>
          <c:xMode val="edge"/>
          <c:yMode val="edge"/>
          <c:x val="0.38782608695652177"/>
          <c:y val="2.8142589118198873E-2"/>
        </c:manualLayout>
      </c:layout>
      <c:overlay val="0"/>
      <c:spPr>
        <a:noFill/>
        <a:ln w="25400">
          <a:noFill/>
        </a:ln>
      </c:spPr>
    </c:title>
    <c:autoTitleDeleted val="0"/>
    <c:view3D>
      <c:rotX val="14"/>
      <c:hPercent val="100"/>
      <c:rotY val="36"/>
      <c:depthPercent val="100"/>
      <c:rAngAx val="0"/>
    </c:view3D>
    <c:floor>
      <c:thickness val="0"/>
      <c:spPr>
        <a:solidFill>
          <a:srgbClr val="C0C0C0"/>
        </a:solidFill>
        <a:ln w="3175">
          <a:solidFill>
            <a:srgbClr val="000000"/>
          </a:solidFill>
          <a:prstDash val="solid"/>
        </a:ln>
      </c:spPr>
    </c:floor>
    <c:sideWall>
      <c:thickness val="0"/>
      <c:spPr>
        <a:solidFill>
          <a:srgbClr val="C0C0C0"/>
        </a:solidFill>
        <a:ln w="12700">
          <a:solidFill>
            <a:srgbClr val="808080"/>
          </a:solidFill>
          <a:prstDash val="solid"/>
        </a:ln>
      </c:spPr>
    </c:sideWall>
    <c:backWall>
      <c:thickness val="0"/>
      <c:spPr>
        <a:solidFill>
          <a:srgbClr val="C0C0C0"/>
        </a:solidFill>
        <a:ln w="12700">
          <a:solidFill>
            <a:srgbClr val="808080"/>
          </a:solidFill>
          <a:prstDash val="solid"/>
        </a:ln>
      </c:spPr>
    </c:backWall>
    <c:plotArea>
      <c:layout>
        <c:manualLayout>
          <c:layoutTarget val="inner"/>
          <c:xMode val="edge"/>
          <c:yMode val="edge"/>
          <c:x val="0.25043478260869567"/>
          <c:y val="0.1200750469043152"/>
          <c:w val="0.59130434782608698"/>
          <c:h val="0.70919324577861165"/>
        </c:manualLayout>
      </c:layout>
      <c:bar3DChart>
        <c:barDir val="col"/>
        <c:grouping val="standard"/>
        <c:varyColors val="0"/>
        <c:ser>
          <c:idx val="0"/>
          <c:order val="0"/>
          <c:tx>
            <c:strRef>
              <c:f>'coef interp, 2 multivar model'!$B$54</c:f>
              <c:strCache>
                <c:ptCount val="1"/>
                <c:pt idx="0">
                  <c:v>Black</c:v>
                </c:pt>
              </c:strCache>
            </c:strRef>
          </c:tx>
          <c:spPr>
            <a:solidFill>
              <a:srgbClr val="993366"/>
            </a:solidFill>
            <a:ln w="12700">
              <a:solidFill>
                <a:srgbClr val="000000"/>
              </a:solidFill>
              <a:prstDash val="solid"/>
            </a:ln>
          </c:spPr>
          <c:invertIfNegative val="1"/>
          <c:cat>
            <c:strRef>
              <c:f>'coef interp, 2 multivar model'!$C$53:$G$53</c:f>
              <c:strCache>
                <c:ptCount val="5"/>
                <c:pt idx="0">
                  <c:v>Black</c:v>
                </c:pt>
                <c:pt idx="1">
                  <c:v>Mexican</c:v>
                </c:pt>
                <c:pt idx="2">
                  <c:v>Oth H</c:v>
                </c:pt>
                <c:pt idx="3">
                  <c:v>Oth NH</c:v>
                </c:pt>
                <c:pt idx="4">
                  <c:v>White</c:v>
                </c:pt>
              </c:strCache>
            </c:strRef>
          </c:cat>
          <c:val>
            <c:numRef>
              <c:f>'coef interp, 2 multivar model'!$C$54:$G$54</c:f>
              <c:numCache>
                <c:formatCode>General</c:formatCode>
                <c:ptCount val="5"/>
                <c:pt idx="0">
                  <c:v>4.9610000000000003</c:v>
                </c:pt>
                <c:pt idx="1">
                  <c:v>-1.1969999999999998</c:v>
                </c:pt>
                <c:pt idx="2">
                  <c:v>-0.69000000000000006</c:v>
                </c:pt>
                <c:pt idx="4">
                  <c:v>-0.48799999999999988</c:v>
                </c:pt>
              </c:numCache>
            </c:numRef>
          </c:val>
          <c:extLst>
            <c:ext xmlns:c14="http://schemas.microsoft.com/office/drawing/2007/8/2/chart" uri="{6F2FDCE9-48DA-4B69-8628-5D25D57E5C99}">
              <c14:invertSolidFillFmt>
                <c14:spPr xmlns:c14="http://schemas.microsoft.com/office/drawing/2007/8/2/chart">
                  <a:solidFill>
                    <a:srgbClr val="FFFFFF"/>
                  </a:solidFill>
                  <a:ln w="12700">
                    <a:solidFill>
                      <a:srgbClr val="000000"/>
                    </a:solidFill>
                    <a:prstDash val="solid"/>
                  </a:ln>
                </c14:spPr>
              </c14:invertSolidFillFmt>
            </c:ext>
          </c:extLst>
        </c:ser>
        <c:ser>
          <c:idx val="1"/>
          <c:order val="1"/>
          <c:tx>
            <c:strRef>
              <c:f>'coef interp, 2 multivar model'!$B$55</c:f>
              <c:strCache>
                <c:ptCount val="1"/>
                <c:pt idx="0">
                  <c:v>Mexican</c:v>
                </c:pt>
              </c:strCache>
            </c:strRef>
          </c:tx>
          <c:spPr>
            <a:solidFill>
              <a:srgbClr val="993366"/>
            </a:solidFill>
            <a:ln w="12700">
              <a:solidFill>
                <a:srgbClr val="000000"/>
              </a:solidFill>
              <a:prstDash val="solid"/>
            </a:ln>
          </c:spPr>
          <c:invertIfNegative val="1"/>
          <c:cat>
            <c:strRef>
              <c:f>'coef interp, 2 multivar model'!$C$53:$G$53</c:f>
              <c:strCache>
                <c:ptCount val="5"/>
                <c:pt idx="0">
                  <c:v>Black</c:v>
                </c:pt>
                <c:pt idx="1">
                  <c:v>Mexican</c:v>
                </c:pt>
                <c:pt idx="2">
                  <c:v>Oth H</c:v>
                </c:pt>
                <c:pt idx="3">
                  <c:v>Oth NH</c:v>
                </c:pt>
                <c:pt idx="4">
                  <c:v>White</c:v>
                </c:pt>
              </c:strCache>
            </c:strRef>
          </c:cat>
          <c:val>
            <c:numRef>
              <c:f>'coef interp, 2 multivar model'!$C$55:$G$55</c:f>
              <c:numCache>
                <c:formatCode>General</c:formatCode>
                <c:ptCount val="5"/>
                <c:pt idx="0">
                  <c:v>-1.1969999999999998</c:v>
                </c:pt>
                <c:pt idx="1">
                  <c:v>2.0629999999999997</c:v>
                </c:pt>
                <c:pt idx="2">
                  <c:v>-1.046</c:v>
                </c:pt>
              </c:numCache>
            </c:numRef>
          </c:val>
          <c:extLst>
            <c:ext xmlns:c14="http://schemas.microsoft.com/office/drawing/2007/8/2/chart" uri="{6F2FDCE9-48DA-4B69-8628-5D25D57E5C99}">
              <c14:invertSolidFillFmt>
                <c14:spPr xmlns:c14="http://schemas.microsoft.com/office/drawing/2007/8/2/chart">
                  <a:solidFill>
                    <a:srgbClr val="FFFFFF"/>
                  </a:solidFill>
                  <a:ln w="12700">
                    <a:solidFill>
                      <a:srgbClr val="000000"/>
                    </a:solidFill>
                    <a:prstDash val="solid"/>
                  </a:ln>
                </c14:spPr>
              </c14:invertSolidFillFmt>
            </c:ext>
          </c:extLst>
        </c:ser>
        <c:ser>
          <c:idx val="2"/>
          <c:order val="2"/>
          <c:tx>
            <c:strRef>
              <c:f>'coef interp, 2 multivar model'!$B$56</c:f>
              <c:strCache>
                <c:ptCount val="1"/>
                <c:pt idx="0">
                  <c:v>Oth H</c:v>
                </c:pt>
              </c:strCache>
            </c:strRef>
          </c:tx>
          <c:spPr>
            <a:solidFill>
              <a:srgbClr val="993366"/>
            </a:solidFill>
            <a:ln w="12700">
              <a:solidFill>
                <a:srgbClr val="000000"/>
              </a:solidFill>
              <a:prstDash val="solid"/>
            </a:ln>
          </c:spPr>
          <c:invertIfNegative val="1"/>
          <c:cat>
            <c:strRef>
              <c:f>'coef interp, 2 multivar model'!$C$53:$G$53</c:f>
              <c:strCache>
                <c:ptCount val="5"/>
                <c:pt idx="0">
                  <c:v>Black</c:v>
                </c:pt>
                <c:pt idx="1">
                  <c:v>Mexican</c:v>
                </c:pt>
                <c:pt idx="2">
                  <c:v>Oth H</c:v>
                </c:pt>
                <c:pt idx="3">
                  <c:v>Oth NH</c:v>
                </c:pt>
                <c:pt idx="4">
                  <c:v>White</c:v>
                </c:pt>
              </c:strCache>
            </c:strRef>
          </c:cat>
          <c:val>
            <c:numRef>
              <c:f>'coef interp, 2 multivar model'!$C$56:$G$56</c:f>
              <c:numCache>
                <c:formatCode>General</c:formatCode>
                <c:ptCount val="5"/>
                <c:pt idx="1">
                  <c:v>-1.046</c:v>
                </c:pt>
                <c:pt idx="2">
                  <c:v>1.8509999999999995</c:v>
                </c:pt>
                <c:pt idx="3">
                  <c:v>0.23599999999999993</c:v>
                </c:pt>
              </c:numCache>
            </c:numRef>
          </c:val>
          <c:extLst>
            <c:ext xmlns:c14="http://schemas.microsoft.com/office/drawing/2007/8/2/chart" uri="{6F2FDCE9-48DA-4B69-8628-5D25D57E5C99}">
              <c14:invertSolidFillFmt>
                <c14:spPr xmlns:c14="http://schemas.microsoft.com/office/drawing/2007/8/2/chart">
                  <a:solidFill>
                    <a:srgbClr val="FFFFFF"/>
                  </a:solidFill>
                  <a:ln w="12700">
                    <a:solidFill>
                      <a:srgbClr val="000000"/>
                    </a:solidFill>
                    <a:prstDash val="solid"/>
                  </a:ln>
                </c14:spPr>
              </c14:invertSolidFillFmt>
            </c:ext>
          </c:extLst>
        </c:ser>
        <c:ser>
          <c:idx val="3"/>
          <c:order val="3"/>
          <c:tx>
            <c:strRef>
              <c:f>'coef interp, 2 multivar model'!$B$57</c:f>
              <c:strCache>
                <c:ptCount val="1"/>
                <c:pt idx="0">
                  <c:v>Oth NH</c:v>
                </c:pt>
              </c:strCache>
            </c:strRef>
          </c:tx>
          <c:spPr>
            <a:solidFill>
              <a:srgbClr val="993366"/>
            </a:solidFill>
            <a:ln w="12700">
              <a:solidFill>
                <a:srgbClr val="000000"/>
              </a:solidFill>
              <a:prstDash val="solid"/>
            </a:ln>
          </c:spPr>
          <c:invertIfNegative val="0"/>
          <c:cat>
            <c:strRef>
              <c:f>'coef interp, 2 multivar model'!$C$53:$G$53</c:f>
              <c:strCache>
                <c:ptCount val="5"/>
                <c:pt idx="0">
                  <c:v>Black</c:v>
                </c:pt>
                <c:pt idx="1">
                  <c:v>Mexican</c:v>
                </c:pt>
                <c:pt idx="2">
                  <c:v>Oth H</c:v>
                </c:pt>
                <c:pt idx="3">
                  <c:v>Oth NH</c:v>
                </c:pt>
                <c:pt idx="4">
                  <c:v>White</c:v>
                </c:pt>
              </c:strCache>
            </c:strRef>
          </c:cat>
          <c:val>
            <c:numRef>
              <c:f>'coef interp, 2 multivar model'!$C$57:$G$57</c:f>
              <c:numCache>
                <c:formatCode>General</c:formatCode>
                <c:ptCount val="5"/>
                <c:pt idx="2">
                  <c:v>0.23599999999999993</c:v>
                </c:pt>
                <c:pt idx="3">
                  <c:v>4.1660000000000004</c:v>
                </c:pt>
                <c:pt idx="4">
                  <c:v>1.3480000000000001</c:v>
                </c:pt>
              </c:numCache>
            </c:numRef>
          </c:val>
        </c:ser>
        <c:ser>
          <c:idx val="4"/>
          <c:order val="4"/>
          <c:tx>
            <c:strRef>
              <c:f>'coef interp, 2 multivar model'!$B$58</c:f>
              <c:strCache>
                <c:ptCount val="1"/>
                <c:pt idx="0">
                  <c:v>White</c:v>
                </c:pt>
              </c:strCache>
            </c:strRef>
          </c:tx>
          <c:spPr>
            <a:solidFill>
              <a:srgbClr val="993366"/>
            </a:solidFill>
            <a:ln w="12700">
              <a:solidFill>
                <a:srgbClr val="000000"/>
              </a:solidFill>
              <a:prstDash val="solid"/>
            </a:ln>
          </c:spPr>
          <c:invertIfNegative val="1"/>
          <c:cat>
            <c:strRef>
              <c:f>'coef interp, 2 multivar model'!$C$53:$G$53</c:f>
              <c:strCache>
                <c:ptCount val="5"/>
                <c:pt idx="0">
                  <c:v>Black</c:v>
                </c:pt>
                <c:pt idx="1">
                  <c:v>Mexican</c:v>
                </c:pt>
                <c:pt idx="2">
                  <c:v>Oth H</c:v>
                </c:pt>
                <c:pt idx="3">
                  <c:v>Oth NH</c:v>
                </c:pt>
                <c:pt idx="4">
                  <c:v>White</c:v>
                </c:pt>
              </c:strCache>
            </c:strRef>
          </c:cat>
          <c:val>
            <c:numRef>
              <c:f>'coef interp, 2 multivar model'!$C$58:$G$58</c:f>
              <c:numCache>
                <c:formatCode>General</c:formatCode>
                <c:ptCount val="5"/>
                <c:pt idx="0">
                  <c:v>-0.59299999999999997</c:v>
                </c:pt>
                <c:pt idx="3">
                  <c:v>1.3480000000000001</c:v>
                </c:pt>
                <c:pt idx="4">
                  <c:v>3.2130000000000001</c:v>
                </c:pt>
              </c:numCache>
            </c:numRef>
          </c:val>
          <c:extLst>
            <c:ext xmlns:c14="http://schemas.microsoft.com/office/drawing/2007/8/2/chart" uri="{6F2FDCE9-48DA-4B69-8628-5D25D57E5C99}">
              <c14:invertSolidFillFmt>
                <c14:spPr xmlns:c14="http://schemas.microsoft.com/office/drawing/2007/8/2/chart">
                  <a:solidFill>
                    <a:srgbClr val="FFFFFF"/>
                  </a:solidFill>
                  <a:ln w="12700">
                    <a:solidFill>
                      <a:srgbClr val="000000"/>
                    </a:solidFill>
                    <a:prstDash val="solid"/>
                  </a:ln>
                </c14:spPr>
              </c14:invertSolidFillFmt>
            </c:ext>
          </c:extLst>
        </c:ser>
        <c:dLbls>
          <c:showLegendKey val="0"/>
          <c:showVal val="0"/>
          <c:showCatName val="0"/>
          <c:showSerName val="0"/>
          <c:showPercent val="0"/>
          <c:showBubbleSize val="0"/>
        </c:dLbls>
        <c:gapWidth val="150"/>
        <c:shape val="box"/>
        <c:axId val="362980384"/>
        <c:axId val="362977640"/>
        <c:axId val="362859080"/>
      </c:bar3DChart>
      <c:catAx>
        <c:axId val="362980384"/>
        <c:scaling>
          <c:orientation val="maxMin"/>
        </c:scaling>
        <c:delete val="0"/>
        <c:axPos val="b"/>
        <c:title>
          <c:tx>
            <c:rich>
              <a:bodyPr/>
              <a:lstStyle/>
              <a:p>
                <a:pPr>
                  <a:defRPr sz="1175" b="1" i="0" u="none" strike="noStrike" baseline="0">
                    <a:solidFill>
                      <a:srgbClr val="000000"/>
                    </a:solidFill>
                    <a:latin typeface="Arial"/>
                    <a:ea typeface="Arial"/>
                    <a:cs typeface="Arial"/>
                  </a:defRPr>
                </a:pPr>
                <a:r>
                  <a:rPr lang="en-US"/>
                  <a:t>Wives</a:t>
                </a:r>
              </a:p>
            </c:rich>
          </c:tx>
          <c:layout>
            <c:manualLayout>
              <c:xMode val="edge"/>
              <c:yMode val="edge"/>
              <c:x val="0.17739130434782607"/>
              <c:y val="0.78236397748592867"/>
            </c:manualLayout>
          </c:layout>
          <c:overlay val="0"/>
          <c:spPr>
            <a:noFill/>
            <a:ln w="25400">
              <a:noFill/>
            </a:ln>
          </c:spPr>
        </c:title>
        <c:numFmt formatCode="General" sourceLinked="1"/>
        <c:majorTickMark val="out"/>
        <c:minorTickMark val="none"/>
        <c:tickLblPos val="low"/>
        <c:spPr>
          <a:ln w="3175">
            <a:solidFill>
              <a:srgbClr val="000000"/>
            </a:solidFill>
            <a:prstDash val="solid"/>
          </a:ln>
        </c:spPr>
        <c:txPr>
          <a:bodyPr rot="-5400000" vert="horz"/>
          <a:lstStyle/>
          <a:p>
            <a:pPr>
              <a:defRPr sz="1175" b="0" i="0" u="none" strike="noStrike" baseline="0">
                <a:solidFill>
                  <a:srgbClr val="000000"/>
                </a:solidFill>
                <a:latin typeface="Arial"/>
                <a:ea typeface="Arial"/>
                <a:cs typeface="Arial"/>
              </a:defRPr>
            </a:pPr>
            <a:endParaRPr lang="en-US"/>
          </a:p>
        </c:txPr>
        <c:crossAx val="362977640"/>
        <c:crosses val="autoZero"/>
        <c:auto val="1"/>
        <c:lblAlgn val="ctr"/>
        <c:lblOffset val="100"/>
        <c:tickLblSkip val="1"/>
        <c:tickMarkSkip val="1"/>
        <c:noMultiLvlLbl val="1"/>
      </c:catAx>
      <c:valAx>
        <c:axId val="362977640"/>
        <c:scaling>
          <c:orientation val="minMax"/>
          <c:min val="-3"/>
        </c:scaling>
        <c:delete val="0"/>
        <c:axPos val="r"/>
        <c:majorGridlines>
          <c:spPr>
            <a:ln w="3175">
              <a:solidFill>
                <a:srgbClr val="000000"/>
              </a:solidFill>
              <a:prstDash val="solid"/>
            </a:ln>
          </c:spPr>
        </c:majorGridlines>
        <c:title>
          <c:tx>
            <c:rich>
              <a:bodyPr rot="0" vert="horz"/>
              <a:lstStyle/>
              <a:p>
                <a:pPr algn="ctr">
                  <a:defRPr sz="1175" b="1" i="0" u="none" strike="noStrike" baseline="0">
                    <a:solidFill>
                      <a:srgbClr val="000000"/>
                    </a:solidFill>
                    <a:latin typeface="Arial"/>
                    <a:ea typeface="Arial"/>
                    <a:cs typeface="Arial"/>
                  </a:defRPr>
                </a:pPr>
                <a:r>
                  <a:rPr lang="en-US"/>
                  <a:t>Relative Log count</a:t>
                </a:r>
              </a:p>
            </c:rich>
          </c:tx>
          <c:layout>
            <c:manualLayout>
              <c:xMode val="edge"/>
              <c:yMode val="edge"/>
              <c:x val="3.3043478260869563E-2"/>
              <c:y val="0.39774859287054409"/>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1175" b="0" i="0" u="none" strike="noStrike" baseline="0">
                <a:solidFill>
                  <a:srgbClr val="000000"/>
                </a:solidFill>
                <a:latin typeface="Arial"/>
                <a:ea typeface="Arial"/>
                <a:cs typeface="Arial"/>
              </a:defRPr>
            </a:pPr>
            <a:endParaRPr lang="en-US"/>
          </a:p>
        </c:txPr>
        <c:crossAx val="362980384"/>
        <c:crosses val="autoZero"/>
        <c:crossBetween val="between"/>
      </c:valAx>
      <c:serAx>
        <c:axId val="362859080"/>
        <c:scaling>
          <c:orientation val="minMax"/>
        </c:scaling>
        <c:delete val="0"/>
        <c:axPos val="b"/>
        <c:title>
          <c:tx>
            <c:rich>
              <a:bodyPr/>
              <a:lstStyle/>
              <a:p>
                <a:pPr>
                  <a:defRPr sz="1175" b="1" i="0" u="none" strike="noStrike" baseline="0">
                    <a:solidFill>
                      <a:srgbClr val="000000"/>
                    </a:solidFill>
                    <a:latin typeface="Arial"/>
                    <a:ea typeface="Arial"/>
                    <a:cs typeface="Arial"/>
                  </a:defRPr>
                </a:pPr>
                <a:r>
                  <a:rPr lang="en-US"/>
                  <a:t>Husbands</a:t>
                </a:r>
              </a:p>
            </c:rich>
          </c:tx>
          <c:layout>
            <c:manualLayout>
              <c:xMode val="edge"/>
              <c:yMode val="edge"/>
              <c:x val="0.82608695652173914"/>
              <c:y val="0.70919324577861165"/>
            </c:manualLayout>
          </c:layout>
          <c:overlay val="0"/>
          <c:spPr>
            <a:noFill/>
            <a:ln w="25400">
              <a:noFill/>
            </a:ln>
          </c:spPr>
        </c:title>
        <c:numFmt formatCode="General" sourceLinked="1"/>
        <c:majorTickMark val="out"/>
        <c:minorTickMark val="none"/>
        <c:tickLblPos val="low"/>
        <c:spPr>
          <a:ln w="3175">
            <a:solidFill>
              <a:srgbClr val="000000"/>
            </a:solidFill>
            <a:prstDash val="solid"/>
          </a:ln>
        </c:spPr>
        <c:txPr>
          <a:bodyPr rot="-5400000" vert="horz"/>
          <a:lstStyle/>
          <a:p>
            <a:pPr>
              <a:defRPr sz="1175" b="0" i="0" u="none" strike="noStrike" baseline="0">
                <a:solidFill>
                  <a:srgbClr val="000000"/>
                </a:solidFill>
                <a:latin typeface="Arial"/>
                <a:ea typeface="Arial"/>
                <a:cs typeface="Arial"/>
              </a:defRPr>
            </a:pPr>
            <a:endParaRPr lang="en-US"/>
          </a:p>
        </c:txPr>
        <c:crossAx val="362977640"/>
        <c:crosses val="autoZero"/>
        <c:tickLblSkip val="1"/>
        <c:tickMarkSkip val="1"/>
      </c:ser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1175"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Arial"/>
                <a:ea typeface="Arial"/>
                <a:cs typeface="Arial"/>
              </a:defRPr>
            </a:pPr>
            <a:r>
              <a:rPr lang="en-US"/>
              <a:t>1990 Change in Marriage patterns when US born men marry Foreign Born Women</a:t>
            </a:r>
          </a:p>
        </c:rich>
      </c:tx>
      <c:layout>
        <c:manualLayout>
          <c:xMode val="edge"/>
          <c:yMode val="edge"/>
          <c:x val="0.14409746652809402"/>
          <c:y val="2.9962601611148193E-2"/>
        </c:manualLayout>
      </c:layout>
      <c:overlay val="0"/>
      <c:spPr>
        <a:noFill/>
        <a:ln w="25400">
          <a:noFill/>
        </a:ln>
      </c:spPr>
    </c:title>
    <c:autoTitleDeleted val="0"/>
    <c:view3D>
      <c:rotX val="10"/>
      <c:hPercent val="100"/>
      <c:rotY val="37"/>
      <c:depthPercent val="100"/>
      <c:rAngAx val="0"/>
    </c:view3D>
    <c:floor>
      <c:thickness val="0"/>
      <c:spPr>
        <a:solidFill>
          <a:srgbClr val="C0C0C0"/>
        </a:solidFill>
        <a:ln w="3175">
          <a:solidFill>
            <a:srgbClr val="000000"/>
          </a:solidFill>
          <a:prstDash val="solid"/>
        </a:ln>
      </c:spPr>
    </c:floor>
    <c:sideWall>
      <c:thickness val="0"/>
      <c:spPr>
        <a:solidFill>
          <a:srgbClr val="C0C0C0"/>
        </a:solidFill>
        <a:ln w="12700">
          <a:solidFill>
            <a:srgbClr val="808080"/>
          </a:solidFill>
          <a:prstDash val="solid"/>
        </a:ln>
      </c:spPr>
    </c:sideWall>
    <c:backWall>
      <c:thickness val="0"/>
      <c:spPr>
        <a:solidFill>
          <a:srgbClr val="C0C0C0"/>
        </a:solidFill>
        <a:ln w="12700">
          <a:solidFill>
            <a:srgbClr val="808080"/>
          </a:solidFill>
          <a:prstDash val="solid"/>
        </a:ln>
      </c:spPr>
    </c:backWall>
    <c:plotArea>
      <c:layout>
        <c:manualLayout>
          <c:layoutTarget val="inner"/>
          <c:xMode val="edge"/>
          <c:yMode val="edge"/>
          <c:x val="0.25000042385597038"/>
          <c:y val="0.16104898365992154"/>
          <c:w val="0.58854266449426351"/>
          <c:h val="0.67041321104944085"/>
        </c:manualLayout>
      </c:layout>
      <c:bar3DChart>
        <c:barDir val="col"/>
        <c:grouping val="standard"/>
        <c:varyColors val="0"/>
        <c:ser>
          <c:idx val="0"/>
          <c:order val="0"/>
          <c:tx>
            <c:strRef>
              <c:f>'coef interp, 2 multivar model'!$A$74</c:f>
              <c:strCache>
                <c:ptCount val="1"/>
                <c:pt idx="0">
                  <c:v>Black</c:v>
                </c:pt>
              </c:strCache>
            </c:strRef>
          </c:tx>
          <c:spPr>
            <a:solidFill>
              <a:srgbClr val="993366"/>
            </a:solidFill>
            <a:ln w="12700">
              <a:solidFill>
                <a:srgbClr val="000000"/>
              </a:solidFill>
              <a:prstDash val="solid"/>
            </a:ln>
          </c:spPr>
          <c:invertIfNegative val="1"/>
          <c:cat>
            <c:strRef>
              <c:f>'coef interp, 2 multivar model'!$B$73:$F$73</c:f>
              <c:strCache>
                <c:ptCount val="5"/>
                <c:pt idx="0">
                  <c:v>Black</c:v>
                </c:pt>
                <c:pt idx="1">
                  <c:v>Mexican</c:v>
                </c:pt>
                <c:pt idx="2">
                  <c:v>Oth H</c:v>
                </c:pt>
                <c:pt idx="3">
                  <c:v>Oth NH</c:v>
                </c:pt>
                <c:pt idx="4">
                  <c:v>White</c:v>
                </c:pt>
              </c:strCache>
            </c:strRef>
          </c:cat>
          <c:val>
            <c:numRef>
              <c:f>'coef interp, 2 multivar model'!$B$74:$F$74</c:f>
              <c:numCache>
                <c:formatCode>General</c:formatCode>
                <c:ptCount val="5"/>
                <c:pt idx="0">
                  <c:v>-2.7469999999999999</c:v>
                </c:pt>
                <c:pt idx="1">
                  <c:v>-0.66700000000000004</c:v>
                </c:pt>
                <c:pt idx="2">
                  <c:v>-0.86599999999999999</c:v>
                </c:pt>
                <c:pt idx="4">
                  <c:v>0.1319999999999999</c:v>
                </c:pt>
              </c:numCache>
            </c:numRef>
          </c:val>
          <c:extLst>
            <c:ext xmlns:c14="http://schemas.microsoft.com/office/drawing/2007/8/2/chart" uri="{6F2FDCE9-48DA-4B69-8628-5D25D57E5C99}">
              <c14:invertSolidFillFmt>
                <c14:spPr xmlns:c14="http://schemas.microsoft.com/office/drawing/2007/8/2/chart">
                  <a:solidFill>
                    <a:srgbClr val="FFFFFF"/>
                  </a:solidFill>
                  <a:ln w="12700">
                    <a:solidFill>
                      <a:srgbClr val="000000"/>
                    </a:solidFill>
                    <a:prstDash val="solid"/>
                  </a:ln>
                </c14:spPr>
              </c14:invertSolidFillFmt>
            </c:ext>
          </c:extLst>
        </c:ser>
        <c:ser>
          <c:idx val="1"/>
          <c:order val="1"/>
          <c:tx>
            <c:strRef>
              <c:f>'coef interp, 2 multivar model'!$A$75</c:f>
              <c:strCache>
                <c:ptCount val="1"/>
                <c:pt idx="0">
                  <c:v>Mexican</c:v>
                </c:pt>
              </c:strCache>
            </c:strRef>
          </c:tx>
          <c:spPr>
            <a:solidFill>
              <a:srgbClr val="993366"/>
            </a:solidFill>
            <a:ln w="12700">
              <a:solidFill>
                <a:srgbClr val="000000"/>
              </a:solidFill>
              <a:prstDash val="solid"/>
            </a:ln>
          </c:spPr>
          <c:invertIfNegative val="1"/>
          <c:cat>
            <c:strRef>
              <c:f>'coef interp, 2 multivar model'!$B$73:$F$73</c:f>
              <c:strCache>
                <c:ptCount val="5"/>
                <c:pt idx="0">
                  <c:v>Black</c:v>
                </c:pt>
                <c:pt idx="1">
                  <c:v>Mexican</c:v>
                </c:pt>
                <c:pt idx="2">
                  <c:v>Oth H</c:v>
                </c:pt>
                <c:pt idx="3">
                  <c:v>Oth NH</c:v>
                </c:pt>
                <c:pt idx="4">
                  <c:v>White</c:v>
                </c:pt>
              </c:strCache>
            </c:strRef>
          </c:cat>
          <c:val>
            <c:numRef>
              <c:f>'coef interp, 2 multivar model'!$B$75:$F$75</c:f>
              <c:numCache>
                <c:formatCode>General</c:formatCode>
                <c:ptCount val="5"/>
                <c:pt idx="0">
                  <c:v>-0.66700000000000004</c:v>
                </c:pt>
                <c:pt idx="1">
                  <c:v>0.33400000000000007</c:v>
                </c:pt>
                <c:pt idx="2">
                  <c:v>0.22299999999999998</c:v>
                </c:pt>
              </c:numCache>
            </c:numRef>
          </c:val>
          <c:extLst>
            <c:ext xmlns:c14="http://schemas.microsoft.com/office/drawing/2007/8/2/chart" uri="{6F2FDCE9-48DA-4B69-8628-5D25D57E5C99}">
              <c14:invertSolidFillFmt>
                <c14:spPr xmlns:c14="http://schemas.microsoft.com/office/drawing/2007/8/2/chart">
                  <a:solidFill>
                    <a:srgbClr val="FFFFFF"/>
                  </a:solidFill>
                  <a:ln w="12700">
                    <a:solidFill>
                      <a:srgbClr val="000000"/>
                    </a:solidFill>
                    <a:prstDash val="solid"/>
                  </a:ln>
                </c14:spPr>
              </c14:invertSolidFillFmt>
            </c:ext>
          </c:extLst>
        </c:ser>
        <c:ser>
          <c:idx val="2"/>
          <c:order val="2"/>
          <c:tx>
            <c:strRef>
              <c:f>'coef interp, 2 multivar model'!$A$76</c:f>
              <c:strCache>
                <c:ptCount val="1"/>
                <c:pt idx="0">
                  <c:v>Oth H</c:v>
                </c:pt>
              </c:strCache>
            </c:strRef>
          </c:tx>
          <c:spPr>
            <a:solidFill>
              <a:srgbClr val="993366"/>
            </a:solidFill>
            <a:ln w="12700">
              <a:solidFill>
                <a:srgbClr val="000000"/>
              </a:solidFill>
              <a:prstDash val="solid"/>
            </a:ln>
          </c:spPr>
          <c:invertIfNegative val="1"/>
          <c:cat>
            <c:strRef>
              <c:f>'coef interp, 2 multivar model'!$B$73:$F$73</c:f>
              <c:strCache>
                <c:ptCount val="5"/>
                <c:pt idx="0">
                  <c:v>Black</c:v>
                </c:pt>
                <c:pt idx="1">
                  <c:v>Mexican</c:v>
                </c:pt>
                <c:pt idx="2">
                  <c:v>Oth H</c:v>
                </c:pt>
                <c:pt idx="3">
                  <c:v>Oth NH</c:v>
                </c:pt>
                <c:pt idx="4">
                  <c:v>White</c:v>
                </c:pt>
              </c:strCache>
            </c:strRef>
          </c:cat>
          <c:val>
            <c:numRef>
              <c:f>'coef interp, 2 multivar model'!$B$76:$F$76</c:f>
              <c:numCache>
                <c:formatCode>General</c:formatCode>
                <c:ptCount val="5"/>
                <c:pt idx="1">
                  <c:v>0.22299999999999998</c:v>
                </c:pt>
                <c:pt idx="2">
                  <c:v>-0.63199999999999967</c:v>
                </c:pt>
                <c:pt idx="3">
                  <c:v>-0.439</c:v>
                </c:pt>
              </c:numCache>
            </c:numRef>
          </c:val>
          <c:extLst>
            <c:ext xmlns:c14="http://schemas.microsoft.com/office/drawing/2007/8/2/chart" uri="{6F2FDCE9-48DA-4B69-8628-5D25D57E5C99}">
              <c14:invertSolidFillFmt>
                <c14:spPr xmlns:c14="http://schemas.microsoft.com/office/drawing/2007/8/2/chart">
                  <a:solidFill>
                    <a:srgbClr val="FFFFFF"/>
                  </a:solidFill>
                  <a:ln w="12700">
                    <a:solidFill>
                      <a:srgbClr val="000000"/>
                    </a:solidFill>
                    <a:prstDash val="solid"/>
                  </a:ln>
                </c14:spPr>
              </c14:invertSolidFillFmt>
            </c:ext>
          </c:extLst>
        </c:ser>
        <c:ser>
          <c:idx val="3"/>
          <c:order val="3"/>
          <c:tx>
            <c:strRef>
              <c:f>'coef interp, 2 multivar model'!$A$77</c:f>
              <c:strCache>
                <c:ptCount val="1"/>
                <c:pt idx="0">
                  <c:v>Oth NH</c:v>
                </c:pt>
              </c:strCache>
            </c:strRef>
          </c:tx>
          <c:spPr>
            <a:solidFill>
              <a:srgbClr val="993366"/>
            </a:solidFill>
            <a:ln w="12700">
              <a:solidFill>
                <a:srgbClr val="000000"/>
              </a:solidFill>
              <a:prstDash val="solid"/>
            </a:ln>
          </c:spPr>
          <c:invertIfNegative val="0"/>
          <c:cat>
            <c:strRef>
              <c:f>'coef interp, 2 multivar model'!$B$73:$F$73</c:f>
              <c:strCache>
                <c:ptCount val="5"/>
                <c:pt idx="0">
                  <c:v>Black</c:v>
                </c:pt>
                <c:pt idx="1">
                  <c:v>Mexican</c:v>
                </c:pt>
                <c:pt idx="2">
                  <c:v>Oth H</c:v>
                </c:pt>
                <c:pt idx="3">
                  <c:v>Oth NH</c:v>
                </c:pt>
                <c:pt idx="4">
                  <c:v>White</c:v>
                </c:pt>
              </c:strCache>
            </c:strRef>
          </c:cat>
          <c:val>
            <c:numRef>
              <c:f>'coef interp, 2 multivar model'!$B$77:$F$77</c:f>
              <c:numCache>
                <c:formatCode>General</c:formatCode>
                <c:ptCount val="5"/>
                <c:pt idx="2">
                  <c:v>-0.439</c:v>
                </c:pt>
                <c:pt idx="3">
                  <c:v>-1.0260000000000002</c:v>
                </c:pt>
                <c:pt idx="4">
                  <c:v>0.35699999999999998</c:v>
                </c:pt>
              </c:numCache>
            </c:numRef>
          </c:val>
        </c:ser>
        <c:ser>
          <c:idx val="4"/>
          <c:order val="4"/>
          <c:tx>
            <c:strRef>
              <c:f>'coef interp, 2 multivar model'!$A$78</c:f>
              <c:strCache>
                <c:ptCount val="1"/>
                <c:pt idx="0">
                  <c:v>White</c:v>
                </c:pt>
              </c:strCache>
            </c:strRef>
          </c:tx>
          <c:spPr>
            <a:solidFill>
              <a:srgbClr val="993366"/>
            </a:solidFill>
            <a:ln w="12700">
              <a:solidFill>
                <a:srgbClr val="000000"/>
              </a:solidFill>
              <a:prstDash val="solid"/>
            </a:ln>
          </c:spPr>
          <c:invertIfNegative val="1"/>
          <c:cat>
            <c:strRef>
              <c:f>'coef interp, 2 multivar model'!$B$73:$F$73</c:f>
              <c:strCache>
                <c:ptCount val="5"/>
                <c:pt idx="0">
                  <c:v>Black</c:v>
                </c:pt>
                <c:pt idx="1">
                  <c:v>Mexican</c:v>
                </c:pt>
                <c:pt idx="2">
                  <c:v>Oth H</c:v>
                </c:pt>
                <c:pt idx="3">
                  <c:v>Oth NH</c:v>
                </c:pt>
                <c:pt idx="4">
                  <c:v>White</c:v>
                </c:pt>
              </c:strCache>
            </c:strRef>
          </c:cat>
          <c:val>
            <c:numRef>
              <c:f>'coef interp, 2 multivar model'!$B$78:$F$78</c:f>
              <c:numCache>
                <c:formatCode>General</c:formatCode>
                <c:ptCount val="5"/>
                <c:pt idx="0">
                  <c:v>0.13200000000000001</c:v>
                </c:pt>
                <c:pt idx="3">
                  <c:v>0.35699999999999998</c:v>
                </c:pt>
                <c:pt idx="4">
                  <c:v>-0.28600000000000003</c:v>
                </c:pt>
              </c:numCache>
            </c:numRef>
          </c:val>
          <c:extLst>
            <c:ext xmlns:c14="http://schemas.microsoft.com/office/drawing/2007/8/2/chart" uri="{6F2FDCE9-48DA-4B69-8628-5D25D57E5C99}">
              <c14:invertSolidFillFmt>
                <c14:spPr xmlns:c14="http://schemas.microsoft.com/office/drawing/2007/8/2/chart">
                  <a:solidFill>
                    <a:srgbClr val="FFFFFF"/>
                  </a:solidFill>
                  <a:ln w="12700">
                    <a:solidFill>
                      <a:srgbClr val="000000"/>
                    </a:solidFill>
                    <a:prstDash val="solid"/>
                  </a:ln>
                </c14:spPr>
              </c14:invertSolidFillFmt>
            </c:ext>
          </c:extLst>
        </c:ser>
        <c:dLbls>
          <c:showLegendKey val="0"/>
          <c:showVal val="0"/>
          <c:showCatName val="0"/>
          <c:showSerName val="0"/>
          <c:showPercent val="0"/>
          <c:showBubbleSize val="0"/>
        </c:dLbls>
        <c:gapWidth val="150"/>
        <c:shape val="box"/>
        <c:axId val="362977248"/>
        <c:axId val="362982736"/>
        <c:axId val="362861200"/>
      </c:bar3DChart>
      <c:catAx>
        <c:axId val="362977248"/>
        <c:scaling>
          <c:orientation val="maxMin"/>
        </c:scaling>
        <c:delete val="0"/>
        <c:axPos val="b"/>
        <c:title>
          <c:tx>
            <c:rich>
              <a:bodyPr/>
              <a:lstStyle/>
              <a:p>
                <a:pPr>
                  <a:defRPr sz="1175" b="1" i="0" u="none" strike="noStrike" baseline="0">
                    <a:solidFill>
                      <a:srgbClr val="000000"/>
                    </a:solidFill>
                    <a:latin typeface="Arial"/>
                    <a:ea typeface="Arial"/>
                    <a:cs typeface="Arial"/>
                  </a:defRPr>
                </a:pPr>
                <a:r>
                  <a:rPr lang="en-US"/>
                  <a:t>Wives</a:t>
                </a:r>
              </a:p>
            </c:rich>
          </c:tx>
          <c:layout>
            <c:manualLayout>
              <c:xMode val="edge"/>
              <c:yMode val="edge"/>
              <c:x val="0.17361140545553497"/>
              <c:y val="0.77340965408776274"/>
            </c:manualLayout>
          </c:layout>
          <c:overlay val="0"/>
          <c:spPr>
            <a:noFill/>
            <a:ln w="25400">
              <a:noFill/>
            </a:ln>
          </c:spPr>
        </c:title>
        <c:numFmt formatCode="General" sourceLinked="1"/>
        <c:majorTickMark val="out"/>
        <c:minorTickMark val="none"/>
        <c:tickLblPos val="low"/>
        <c:spPr>
          <a:ln w="3175">
            <a:solidFill>
              <a:srgbClr val="000000"/>
            </a:solidFill>
            <a:prstDash val="solid"/>
          </a:ln>
        </c:spPr>
        <c:txPr>
          <a:bodyPr rot="-5400000" vert="horz"/>
          <a:lstStyle/>
          <a:p>
            <a:pPr>
              <a:defRPr sz="1175" b="0" i="0" u="none" strike="noStrike" baseline="0">
                <a:solidFill>
                  <a:srgbClr val="000000"/>
                </a:solidFill>
                <a:latin typeface="Arial"/>
                <a:ea typeface="Arial"/>
                <a:cs typeface="Arial"/>
              </a:defRPr>
            </a:pPr>
            <a:endParaRPr lang="en-US"/>
          </a:p>
        </c:txPr>
        <c:crossAx val="362982736"/>
        <c:crosses val="autoZero"/>
        <c:auto val="1"/>
        <c:lblAlgn val="ctr"/>
        <c:lblOffset val="100"/>
        <c:tickLblSkip val="1"/>
        <c:tickMarkSkip val="1"/>
        <c:noMultiLvlLbl val="1"/>
      </c:catAx>
      <c:valAx>
        <c:axId val="362982736"/>
        <c:scaling>
          <c:orientation val="minMax"/>
          <c:max val="5"/>
        </c:scaling>
        <c:delete val="0"/>
        <c:axPos val="r"/>
        <c:majorGridlines>
          <c:spPr>
            <a:ln w="3175">
              <a:solidFill>
                <a:srgbClr val="000000"/>
              </a:solidFill>
              <a:prstDash val="solid"/>
            </a:ln>
          </c:spPr>
        </c:majorGridlines>
        <c:title>
          <c:tx>
            <c:rich>
              <a:bodyPr rot="0" vert="horz"/>
              <a:lstStyle/>
              <a:p>
                <a:pPr algn="ctr">
                  <a:defRPr sz="1175" b="1" i="0" u="none" strike="noStrike" baseline="0">
                    <a:solidFill>
                      <a:srgbClr val="000000"/>
                    </a:solidFill>
                    <a:latin typeface="Arial"/>
                    <a:ea typeface="Arial"/>
                    <a:cs typeface="Arial"/>
                  </a:defRPr>
                </a:pPr>
                <a:r>
                  <a:rPr lang="en-US"/>
                  <a:t>Relative Log count</a:t>
                </a:r>
              </a:p>
            </c:rich>
          </c:tx>
          <c:layout>
            <c:manualLayout>
              <c:xMode val="edge"/>
              <c:yMode val="edge"/>
              <c:x val="3.1250052981996297E-2"/>
              <c:y val="0.41760375995537796"/>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1175" b="0" i="0" u="none" strike="noStrike" baseline="0">
                <a:solidFill>
                  <a:srgbClr val="000000"/>
                </a:solidFill>
                <a:latin typeface="Arial"/>
                <a:ea typeface="Arial"/>
                <a:cs typeface="Arial"/>
              </a:defRPr>
            </a:pPr>
            <a:endParaRPr lang="en-US"/>
          </a:p>
        </c:txPr>
        <c:crossAx val="362977248"/>
        <c:crosses val="autoZero"/>
        <c:crossBetween val="between"/>
      </c:valAx>
      <c:serAx>
        <c:axId val="362861200"/>
        <c:scaling>
          <c:orientation val="minMax"/>
        </c:scaling>
        <c:delete val="0"/>
        <c:axPos val="b"/>
        <c:title>
          <c:tx>
            <c:rich>
              <a:bodyPr/>
              <a:lstStyle/>
              <a:p>
                <a:pPr>
                  <a:defRPr sz="1175" b="1" i="0" u="none" strike="noStrike" baseline="0">
                    <a:solidFill>
                      <a:srgbClr val="000000"/>
                    </a:solidFill>
                    <a:latin typeface="Arial"/>
                    <a:ea typeface="Arial"/>
                    <a:cs typeface="Arial"/>
                  </a:defRPr>
                </a:pPr>
                <a:r>
                  <a:rPr lang="en-US"/>
                  <a:t>Husbands</a:t>
                </a:r>
              </a:p>
            </c:rich>
          </c:tx>
          <c:layout>
            <c:manualLayout>
              <c:xMode val="edge"/>
              <c:yMode val="edge"/>
              <c:x val="0.8263902899683464"/>
              <c:y val="0.72097510126825348"/>
            </c:manualLayout>
          </c:layout>
          <c:overlay val="0"/>
          <c:spPr>
            <a:noFill/>
            <a:ln w="25400">
              <a:noFill/>
            </a:ln>
          </c:spPr>
        </c:title>
        <c:numFmt formatCode="General" sourceLinked="1"/>
        <c:majorTickMark val="out"/>
        <c:minorTickMark val="none"/>
        <c:tickLblPos val="low"/>
        <c:spPr>
          <a:ln w="3175">
            <a:solidFill>
              <a:srgbClr val="000000"/>
            </a:solidFill>
            <a:prstDash val="solid"/>
          </a:ln>
        </c:spPr>
        <c:txPr>
          <a:bodyPr rot="-5400000" vert="horz"/>
          <a:lstStyle/>
          <a:p>
            <a:pPr>
              <a:defRPr sz="1175" b="0" i="0" u="none" strike="noStrike" baseline="0">
                <a:solidFill>
                  <a:srgbClr val="000000"/>
                </a:solidFill>
                <a:latin typeface="Arial"/>
                <a:ea typeface="Arial"/>
                <a:cs typeface="Arial"/>
              </a:defRPr>
            </a:pPr>
            <a:endParaRPr lang="en-US"/>
          </a:p>
        </c:txPr>
        <c:crossAx val="362982736"/>
        <c:crosses val="autoZero"/>
        <c:tickLblSkip val="1"/>
        <c:tickMarkSkip val="1"/>
      </c:ser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1175"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Arial"/>
                <a:ea typeface="Arial"/>
                <a:cs typeface="Arial"/>
              </a:defRPr>
            </a:pPr>
            <a:r>
              <a:rPr lang="en-US"/>
              <a:t>1990 Intermarriage for US born couples</a:t>
            </a:r>
          </a:p>
        </c:rich>
      </c:tx>
      <c:layout>
        <c:manualLayout>
          <c:xMode val="edge"/>
          <c:yMode val="edge"/>
          <c:x val="0.22759896463192456"/>
          <c:y val="3.287671232876712E-2"/>
        </c:manualLayout>
      </c:layout>
      <c:overlay val="0"/>
      <c:spPr>
        <a:noFill/>
        <a:ln w="25400">
          <a:noFill/>
        </a:ln>
      </c:spPr>
    </c:title>
    <c:autoTitleDeleted val="0"/>
    <c:view3D>
      <c:rotX val="15"/>
      <c:hPercent val="100"/>
      <c:rotY val="20"/>
      <c:depthPercent val="100"/>
      <c:rAngAx val="0"/>
    </c:view3D>
    <c:floor>
      <c:thickness val="0"/>
      <c:spPr>
        <a:solidFill>
          <a:srgbClr val="C0C0C0"/>
        </a:solidFill>
        <a:ln w="3175">
          <a:solidFill>
            <a:srgbClr val="000000"/>
          </a:solidFill>
          <a:prstDash val="solid"/>
        </a:ln>
      </c:spPr>
    </c:floor>
    <c:sideWall>
      <c:thickness val="0"/>
      <c:spPr>
        <a:solidFill>
          <a:srgbClr val="C0C0C0"/>
        </a:solidFill>
        <a:ln w="12700">
          <a:solidFill>
            <a:srgbClr val="808080"/>
          </a:solidFill>
          <a:prstDash val="solid"/>
        </a:ln>
      </c:spPr>
    </c:sideWall>
    <c:backWall>
      <c:thickness val="0"/>
      <c:spPr>
        <a:solidFill>
          <a:srgbClr val="C0C0C0"/>
        </a:solidFill>
        <a:ln w="12700">
          <a:solidFill>
            <a:srgbClr val="808080"/>
          </a:solidFill>
          <a:prstDash val="solid"/>
        </a:ln>
      </c:spPr>
    </c:backWall>
    <c:plotArea>
      <c:layout>
        <c:manualLayout>
          <c:layoutTarget val="inner"/>
          <c:xMode val="edge"/>
          <c:yMode val="edge"/>
          <c:x val="0.23655955379066174"/>
          <c:y val="0.14794520547945206"/>
          <c:w val="0.42293980829239525"/>
          <c:h val="0.66849315068493154"/>
        </c:manualLayout>
      </c:layout>
      <c:bar3DChart>
        <c:barDir val="col"/>
        <c:grouping val="standard"/>
        <c:varyColors val="0"/>
        <c:ser>
          <c:idx val="0"/>
          <c:order val="0"/>
          <c:tx>
            <c:strRef>
              <c:f>'coef interp 3, by hand'!$B$71</c:f>
              <c:strCache>
                <c:ptCount val="1"/>
                <c:pt idx="0">
                  <c:v>Black</c:v>
                </c:pt>
              </c:strCache>
            </c:strRef>
          </c:tx>
          <c:spPr>
            <a:solidFill>
              <a:srgbClr val="800000"/>
            </a:solidFill>
            <a:ln w="12700">
              <a:solidFill>
                <a:srgbClr val="000000"/>
              </a:solidFill>
              <a:prstDash val="solid"/>
            </a:ln>
          </c:spPr>
          <c:invertIfNegative val="1"/>
          <c:cat>
            <c:strRef>
              <c:f>'coef interp 3, by hand'!$C$70:$G$70</c:f>
              <c:strCache>
                <c:ptCount val="5"/>
                <c:pt idx="0">
                  <c:v>Black</c:v>
                </c:pt>
                <c:pt idx="1">
                  <c:v>Mexican</c:v>
                </c:pt>
                <c:pt idx="2">
                  <c:v>Oth H</c:v>
                </c:pt>
                <c:pt idx="3">
                  <c:v>Oth NH</c:v>
                </c:pt>
                <c:pt idx="4">
                  <c:v>White</c:v>
                </c:pt>
              </c:strCache>
            </c:strRef>
          </c:cat>
          <c:val>
            <c:numRef>
              <c:f>'coef interp 3, by hand'!$C$71:$G$71</c:f>
              <c:numCache>
                <c:formatCode>General</c:formatCode>
                <c:ptCount val="5"/>
                <c:pt idx="0">
                  <c:v>4.3086527799634693</c:v>
                </c:pt>
                <c:pt idx="1">
                  <c:v>-1.1971289642692908</c:v>
                </c:pt>
                <c:pt idx="2">
                  <c:v>-0.68766503484316199</c:v>
                </c:pt>
                <c:pt idx="3">
                  <c:v>-1.1353889552842418</c:v>
                </c:pt>
                <c:pt idx="4">
                  <c:v>-1.2884698255667826</c:v>
                </c:pt>
              </c:numCache>
            </c:numRef>
          </c:val>
          <c:extLst>
            <c:ext xmlns:c14="http://schemas.microsoft.com/office/drawing/2007/8/2/chart" uri="{6F2FDCE9-48DA-4B69-8628-5D25D57E5C99}">
              <c14:invertSolidFillFmt>
                <c14:spPr xmlns:c14="http://schemas.microsoft.com/office/drawing/2007/8/2/chart">
                  <a:solidFill>
                    <a:srgbClr val="FFFFFF"/>
                  </a:solidFill>
                  <a:ln w="12700">
                    <a:solidFill>
                      <a:srgbClr val="000000"/>
                    </a:solidFill>
                    <a:prstDash val="solid"/>
                  </a:ln>
                </c14:spPr>
              </c14:invertSolidFillFmt>
            </c:ext>
          </c:extLst>
        </c:ser>
        <c:ser>
          <c:idx val="1"/>
          <c:order val="1"/>
          <c:tx>
            <c:strRef>
              <c:f>'coef interp 3, by hand'!$B$72</c:f>
              <c:strCache>
                <c:ptCount val="1"/>
                <c:pt idx="0">
                  <c:v>Mexican</c:v>
                </c:pt>
              </c:strCache>
            </c:strRef>
          </c:tx>
          <c:spPr>
            <a:solidFill>
              <a:srgbClr val="800000"/>
            </a:solidFill>
            <a:ln w="12700">
              <a:solidFill>
                <a:srgbClr val="000000"/>
              </a:solidFill>
              <a:prstDash val="solid"/>
            </a:ln>
          </c:spPr>
          <c:invertIfNegative val="1"/>
          <c:cat>
            <c:strRef>
              <c:f>'coef interp 3, by hand'!$C$70:$G$70</c:f>
              <c:strCache>
                <c:ptCount val="5"/>
                <c:pt idx="0">
                  <c:v>Black</c:v>
                </c:pt>
                <c:pt idx="1">
                  <c:v>Mexican</c:v>
                </c:pt>
                <c:pt idx="2">
                  <c:v>Oth H</c:v>
                </c:pt>
                <c:pt idx="3">
                  <c:v>Oth NH</c:v>
                </c:pt>
                <c:pt idx="4">
                  <c:v>White</c:v>
                </c:pt>
              </c:strCache>
            </c:strRef>
          </c:cat>
          <c:val>
            <c:numRef>
              <c:f>'coef interp 3, by hand'!$C$72:$G$72</c:f>
              <c:numCache>
                <c:formatCode>General</c:formatCode>
                <c:ptCount val="5"/>
                <c:pt idx="0">
                  <c:v>-1.2807469576945998</c:v>
                </c:pt>
                <c:pt idx="1">
                  <c:v>2.6749877984602213</c:v>
                </c:pt>
                <c:pt idx="2">
                  <c:v>-0.54074371617184214</c:v>
                </c:pt>
                <c:pt idx="3">
                  <c:v>-0.60973620754503932</c:v>
                </c:pt>
                <c:pt idx="4">
                  <c:v>-0.24376091704874714</c:v>
                </c:pt>
              </c:numCache>
            </c:numRef>
          </c:val>
          <c:extLst>
            <c:ext xmlns:c14="http://schemas.microsoft.com/office/drawing/2007/8/2/chart" uri="{6F2FDCE9-48DA-4B69-8628-5D25D57E5C99}">
              <c14:invertSolidFillFmt>
                <c14:spPr xmlns:c14="http://schemas.microsoft.com/office/drawing/2007/8/2/chart">
                  <a:solidFill>
                    <a:srgbClr val="FFFFFF"/>
                  </a:solidFill>
                  <a:ln w="12700">
                    <a:solidFill>
                      <a:srgbClr val="000000"/>
                    </a:solidFill>
                    <a:prstDash val="solid"/>
                  </a:ln>
                </c14:spPr>
              </c14:invertSolidFillFmt>
            </c:ext>
          </c:extLst>
        </c:ser>
        <c:ser>
          <c:idx val="2"/>
          <c:order val="2"/>
          <c:tx>
            <c:strRef>
              <c:f>'coef interp 3, by hand'!$B$73</c:f>
              <c:strCache>
                <c:ptCount val="1"/>
                <c:pt idx="0">
                  <c:v>Oth H</c:v>
                </c:pt>
              </c:strCache>
            </c:strRef>
          </c:tx>
          <c:spPr>
            <a:solidFill>
              <a:srgbClr val="800000"/>
            </a:solidFill>
            <a:ln w="12700">
              <a:solidFill>
                <a:srgbClr val="000000"/>
              </a:solidFill>
              <a:prstDash val="solid"/>
            </a:ln>
          </c:spPr>
          <c:invertIfNegative val="1"/>
          <c:cat>
            <c:strRef>
              <c:f>'coef interp 3, by hand'!$C$70:$G$70</c:f>
              <c:strCache>
                <c:ptCount val="5"/>
                <c:pt idx="0">
                  <c:v>Black</c:v>
                </c:pt>
                <c:pt idx="1">
                  <c:v>Mexican</c:v>
                </c:pt>
                <c:pt idx="2">
                  <c:v>Oth H</c:v>
                </c:pt>
                <c:pt idx="3">
                  <c:v>Oth NH</c:v>
                </c:pt>
                <c:pt idx="4">
                  <c:v>White</c:v>
                </c:pt>
              </c:strCache>
            </c:strRef>
          </c:cat>
          <c:val>
            <c:numRef>
              <c:f>'coef interp 3, by hand'!$C$73:$G$73</c:f>
              <c:numCache>
                <c:formatCode>General</c:formatCode>
                <c:ptCount val="5"/>
                <c:pt idx="0">
                  <c:v>-0.3332889883972544</c:v>
                </c:pt>
                <c:pt idx="1">
                  <c:v>-0.69002788816013949</c:v>
                </c:pt>
                <c:pt idx="2">
                  <c:v>2.1029887020907054</c:v>
                </c:pt>
                <c:pt idx="3">
                  <c:v>-0.54858914903174771</c:v>
                </c:pt>
                <c:pt idx="4">
                  <c:v>-0.53108267650157126</c:v>
                </c:pt>
              </c:numCache>
            </c:numRef>
          </c:val>
          <c:extLst>
            <c:ext xmlns:c14="http://schemas.microsoft.com/office/drawing/2007/8/2/chart" uri="{6F2FDCE9-48DA-4B69-8628-5D25D57E5C99}">
              <c14:invertSolidFillFmt>
                <c14:spPr xmlns:c14="http://schemas.microsoft.com/office/drawing/2007/8/2/chart">
                  <a:solidFill>
                    <a:srgbClr val="FFFFFF"/>
                  </a:solidFill>
                  <a:ln w="12700">
                    <a:solidFill>
                      <a:srgbClr val="000000"/>
                    </a:solidFill>
                    <a:prstDash val="solid"/>
                  </a:ln>
                </c14:spPr>
              </c14:invertSolidFillFmt>
            </c:ext>
          </c:extLst>
        </c:ser>
        <c:ser>
          <c:idx val="3"/>
          <c:order val="3"/>
          <c:tx>
            <c:strRef>
              <c:f>'coef interp 3, by hand'!$B$74</c:f>
              <c:strCache>
                <c:ptCount val="1"/>
                <c:pt idx="0">
                  <c:v>Oth NH</c:v>
                </c:pt>
              </c:strCache>
            </c:strRef>
          </c:tx>
          <c:spPr>
            <a:solidFill>
              <a:srgbClr val="800000"/>
            </a:solidFill>
            <a:ln w="12700">
              <a:solidFill>
                <a:srgbClr val="000000"/>
              </a:solidFill>
              <a:prstDash val="solid"/>
            </a:ln>
          </c:spPr>
          <c:invertIfNegative val="1"/>
          <c:cat>
            <c:strRef>
              <c:f>'coef interp 3, by hand'!$C$70:$G$70</c:f>
              <c:strCache>
                <c:ptCount val="5"/>
                <c:pt idx="0">
                  <c:v>Black</c:v>
                </c:pt>
                <c:pt idx="1">
                  <c:v>Mexican</c:v>
                </c:pt>
                <c:pt idx="2">
                  <c:v>Oth H</c:v>
                </c:pt>
                <c:pt idx="3">
                  <c:v>Oth NH</c:v>
                </c:pt>
                <c:pt idx="4">
                  <c:v>White</c:v>
                </c:pt>
              </c:strCache>
            </c:strRef>
          </c:cat>
          <c:val>
            <c:numRef>
              <c:f>'coef interp 3, by hand'!$C$74:$G$74</c:f>
              <c:numCache>
                <c:formatCode>General</c:formatCode>
                <c:ptCount val="5"/>
                <c:pt idx="0">
                  <c:v>-1.1545849228342537</c:v>
                </c:pt>
                <c:pt idx="1">
                  <c:v>-0.5723416795209133</c:v>
                </c:pt>
                <c:pt idx="2">
                  <c:v>-0.58013426419106529</c:v>
                </c:pt>
                <c:pt idx="3">
                  <c:v>2.3810885004409847</c:v>
                </c:pt>
                <c:pt idx="4">
                  <c:v>-7.4027633894760081E-2</c:v>
                </c:pt>
              </c:numCache>
            </c:numRef>
          </c:val>
          <c:extLst>
            <c:ext xmlns:c14="http://schemas.microsoft.com/office/drawing/2007/8/2/chart" uri="{6F2FDCE9-48DA-4B69-8628-5D25D57E5C99}">
              <c14:invertSolidFillFmt>
                <c14:spPr xmlns:c14="http://schemas.microsoft.com/office/drawing/2007/8/2/chart">
                  <a:solidFill>
                    <a:srgbClr val="FFFFFF"/>
                  </a:solidFill>
                  <a:ln w="12700">
                    <a:solidFill>
                      <a:srgbClr val="000000"/>
                    </a:solidFill>
                    <a:prstDash val="solid"/>
                  </a:ln>
                </c14:spPr>
              </c14:invertSolidFillFmt>
            </c:ext>
          </c:extLst>
        </c:ser>
        <c:ser>
          <c:idx val="4"/>
          <c:order val="4"/>
          <c:tx>
            <c:strRef>
              <c:f>'coef interp 3, by hand'!$B$75</c:f>
              <c:strCache>
                <c:ptCount val="1"/>
                <c:pt idx="0">
                  <c:v>White</c:v>
                </c:pt>
              </c:strCache>
            </c:strRef>
          </c:tx>
          <c:spPr>
            <a:solidFill>
              <a:srgbClr val="800000"/>
            </a:solidFill>
            <a:ln w="12700">
              <a:solidFill>
                <a:srgbClr val="000000"/>
              </a:solidFill>
              <a:prstDash val="solid"/>
            </a:ln>
          </c:spPr>
          <c:invertIfNegative val="1"/>
          <c:cat>
            <c:strRef>
              <c:f>'coef interp 3, by hand'!$C$70:$G$70</c:f>
              <c:strCache>
                <c:ptCount val="5"/>
                <c:pt idx="0">
                  <c:v>Black</c:v>
                </c:pt>
                <c:pt idx="1">
                  <c:v>Mexican</c:v>
                </c:pt>
                <c:pt idx="2">
                  <c:v>Oth H</c:v>
                </c:pt>
                <c:pt idx="3">
                  <c:v>Oth NH</c:v>
                </c:pt>
                <c:pt idx="4">
                  <c:v>White</c:v>
                </c:pt>
              </c:strCache>
            </c:strRef>
          </c:cat>
          <c:val>
            <c:numRef>
              <c:f>'coef interp 3, by hand'!$C$75:$G$75</c:f>
              <c:numCache>
                <c:formatCode>General</c:formatCode>
                <c:ptCount val="5"/>
                <c:pt idx="0">
                  <c:v>-1.5400319110373686</c:v>
                </c:pt>
                <c:pt idx="1">
                  <c:v>-0.21548926650988509</c:v>
                </c:pt>
                <c:pt idx="2">
                  <c:v>-0.29444568688464334</c:v>
                </c:pt>
                <c:pt idx="3">
                  <c:v>-8.7374188579963374E-2</c:v>
                </c:pt>
                <c:pt idx="4">
                  <c:v>2.1373410530118537</c:v>
                </c:pt>
              </c:numCache>
            </c:numRef>
          </c:val>
          <c:extLst>
            <c:ext xmlns:c14="http://schemas.microsoft.com/office/drawing/2007/8/2/chart" uri="{6F2FDCE9-48DA-4B69-8628-5D25D57E5C99}">
              <c14:invertSolidFillFmt>
                <c14:spPr xmlns:c14="http://schemas.microsoft.com/office/drawing/2007/8/2/chart">
                  <a:solidFill>
                    <a:srgbClr val="FFFFFF"/>
                  </a:solidFill>
                  <a:ln w="12700">
                    <a:solidFill>
                      <a:srgbClr val="000000"/>
                    </a:solidFill>
                    <a:prstDash val="solid"/>
                  </a:ln>
                </c14:spPr>
              </c14:invertSolidFillFmt>
            </c:ext>
          </c:extLst>
        </c:ser>
        <c:dLbls>
          <c:showLegendKey val="0"/>
          <c:showVal val="0"/>
          <c:showCatName val="0"/>
          <c:showSerName val="0"/>
          <c:showPercent val="0"/>
          <c:showBubbleSize val="0"/>
        </c:dLbls>
        <c:gapWidth val="150"/>
        <c:shape val="box"/>
        <c:axId val="362976856"/>
        <c:axId val="362975288"/>
        <c:axId val="362858232"/>
      </c:bar3DChart>
      <c:catAx>
        <c:axId val="362976856"/>
        <c:scaling>
          <c:orientation val="maxMin"/>
        </c:scaling>
        <c:delete val="0"/>
        <c:axPos val="b"/>
        <c:title>
          <c:tx>
            <c:rich>
              <a:bodyPr/>
              <a:lstStyle/>
              <a:p>
                <a:pPr>
                  <a:defRPr sz="1000" b="1" i="0" u="none" strike="noStrike" baseline="0">
                    <a:solidFill>
                      <a:srgbClr val="000000"/>
                    </a:solidFill>
                    <a:latin typeface="Arial"/>
                    <a:ea typeface="Arial"/>
                    <a:cs typeface="Arial"/>
                  </a:defRPr>
                </a:pPr>
                <a:r>
                  <a:rPr lang="en-US"/>
                  <a:t>Wife</a:t>
                </a:r>
              </a:p>
            </c:rich>
          </c:tx>
          <c:layout>
            <c:manualLayout>
              <c:xMode val="edge"/>
              <c:yMode val="edge"/>
              <c:x val="0.27240191042561046"/>
              <c:y val="0.88219178082191785"/>
            </c:manualLayout>
          </c:layout>
          <c:overlay val="0"/>
          <c:spPr>
            <a:noFill/>
            <a:ln w="25400">
              <a:noFill/>
            </a:ln>
          </c:spPr>
        </c:title>
        <c:numFmt formatCode="General" sourceLinked="1"/>
        <c:majorTickMark val="out"/>
        <c:minorTickMark val="none"/>
        <c:tickLblPos val="low"/>
        <c:spPr>
          <a:ln w="3175">
            <a:solidFill>
              <a:srgbClr val="000000"/>
            </a:solidFill>
            <a:prstDash val="solid"/>
          </a:ln>
        </c:spPr>
        <c:txPr>
          <a:bodyPr rot="-5400000" vert="horz"/>
          <a:lstStyle/>
          <a:p>
            <a:pPr>
              <a:defRPr sz="1000" b="0" i="0" u="none" strike="noStrike" baseline="0">
                <a:solidFill>
                  <a:srgbClr val="000000"/>
                </a:solidFill>
                <a:latin typeface="Arial Narrow"/>
                <a:ea typeface="Arial Narrow"/>
                <a:cs typeface="Arial Narrow"/>
              </a:defRPr>
            </a:pPr>
            <a:endParaRPr lang="en-US"/>
          </a:p>
        </c:txPr>
        <c:crossAx val="362975288"/>
        <c:crosses val="autoZero"/>
        <c:auto val="1"/>
        <c:lblAlgn val="ctr"/>
        <c:lblOffset val="100"/>
        <c:tickLblSkip val="1"/>
        <c:tickMarkSkip val="1"/>
        <c:noMultiLvlLbl val="1"/>
      </c:catAx>
      <c:valAx>
        <c:axId val="362975288"/>
        <c:scaling>
          <c:orientation val="minMax"/>
        </c:scaling>
        <c:delete val="0"/>
        <c:axPos val="r"/>
        <c:majorGridlines>
          <c:spPr>
            <a:ln w="3175">
              <a:solidFill>
                <a:srgbClr val="000000"/>
              </a:solidFill>
              <a:prstDash val="solid"/>
            </a:ln>
          </c:spPr>
        </c:majorGridlines>
        <c:title>
          <c:tx>
            <c:rich>
              <a:bodyPr rot="0" vert="horz"/>
              <a:lstStyle/>
              <a:p>
                <a:pPr algn="ctr">
                  <a:defRPr sz="1000" b="1" i="0" u="none" strike="noStrike" baseline="0">
                    <a:solidFill>
                      <a:srgbClr val="000000"/>
                    </a:solidFill>
                    <a:latin typeface="Arial Narrow"/>
                    <a:ea typeface="Arial Narrow"/>
                    <a:cs typeface="Arial Narrow"/>
                  </a:defRPr>
                </a:pPr>
                <a:r>
                  <a:rPr lang="en-US"/>
                  <a:t>Relative log count, controlling for size, rows and columns sum to zero</a:t>
                </a:r>
              </a:p>
            </c:rich>
          </c:tx>
          <c:layout>
            <c:manualLayout>
              <c:xMode val="edge"/>
              <c:yMode val="edge"/>
              <c:x val="1.2544824822232062E-2"/>
              <c:y val="0.38630136986301372"/>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en-US"/>
          </a:p>
        </c:txPr>
        <c:crossAx val="362976856"/>
        <c:crosses val="autoZero"/>
        <c:crossBetween val="between"/>
      </c:valAx>
      <c:serAx>
        <c:axId val="362858232"/>
        <c:scaling>
          <c:orientation val="minMax"/>
        </c:scaling>
        <c:delete val="0"/>
        <c:axPos val="b"/>
        <c:title>
          <c:tx>
            <c:rich>
              <a:bodyPr/>
              <a:lstStyle/>
              <a:p>
                <a:pPr>
                  <a:defRPr sz="1000" b="1" i="0" u="none" strike="noStrike" baseline="0">
                    <a:solidFill>
                      <a:srgbClr val="000000"/>
                    </a:solidFill>
                    <a:latin typeface="Arial"/>
                    <a:ea typeface="Arial"/>
                    <a:cs typeface="Arial"/>
                  </a:defRPr>
                </a:pPr>
                <a:r>
                  <a:rPr lang="en-US"/>
                  <a:t>husband</a:t>
                </a:r>
              </a:p>
            </c:rich>
          </c:tx>
          <c:layout>
            <c:manualLayout>
              <c:xMode val="edge"/>
              <c:yMode val="edge"/>
              <c:x val="0.729391957521207"/>
              <c:y val="0.70684931506849313"/>
            </c:manualLayout>
          </c:layout>
          <c:overlay val="0"/>
          <c:spPr>
            <a:noFill/>
            <a:ln w="25400">
              <a:noFill/>
            </a:ln>
          </c:spPr>
        </c:title>
        <c:numFmt formatCode="General" sourceLinked="1"/>
        <c:majorTickMark val="out"/>
        <c:minorTickMark val="none"/>
        <c:tickLblPos val="low"/>
        <c:spPr>
          <a:ln w="3175">
            <a:solidFill>
              <a:srgbClr val="000000"/>
            </a:solidFill>
            <a:prstDash val="solid"/>
          </a:ln>
        </c:spPr>
        <c:txPr>
          <a:bodyPr rot="0" vert="horz"/>
          <a:lstStyle/>
          <a:p>
            <a:pPr>
              <a:defRPr sz="1000" b="0" i="0" u="none" strike="noStrike" baseline="0">
                <a:solidFill>
                  <a:srgbClr val="000000"/>
                </a:solidFill>
                <a:latin typeface="Arial Narrow"/>
                <a:ea typeface="Arial Narrow"/>
                <a:cs typeface="Arial Narrow"/>
              </a:defRPr>
            </a:pPr>
            <a:endParaRPr lang="en-US"/>
          </a:p>
        </c:txPr>
        <c:crossAx val="362975288"/>
        <c:crosses val="autoZero"/>
        <c:tickLblSkip val="2"/>
        <c:tickMarkSkip val="1"/>
      </c:ser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Arial"/>
                <a:ea typeface="Arial"/>
                <a:cs typeface="Arial"/>
              </a:defRPr>
            </a:pPr>
            <a:r>
              <a:rPr lang="en-US"/>
              <a:t>The difference in racial intermarriage when wife is an immigrant</a:t>
            </a:r>
          </a:p>
        </c:rich>
      </c:tx>
      <c:layout>
        <c:manualLayout>
          <c:xMode val="edge"/>
          <c:yMode val="edge"/>
          <c:x val="0.13953500560344714"/>
          <c:y val="3.2786972728218726E-2"/>
        </c:manualLayout>
      </c:layout>
      <c:overlay val="0"/>
      <c:spPr>
        <a:noFill/>
        <a:ln w="25400">
          <a:noFill/>
        </a:ln>
      </c:spPr>
    </c:title>
    <c:autoTitleDeleted val="0"/>
    <c:view3D>
      <c:rotX val="15"/>
      <c:hPercent val="100"/>
      <c:rotY val="20"/>
      <c:depthPercent val="100"/>
      <c:rAngAx val="0"/>
    </c:view3D>
    <c:floor>
      <c:thickness val="0"/>
      <c:spPr>
        <a:solidFill>
          <a:srgbClr val="C0C0C0"/>
        </a:solidFill>
        <a:ln w="3175">
          <a:solidFill>
            <a:srgbClr val="000000"/>
          </a:solidFill>
          <a:prstDash val="solid"/>
        </a:ln>
      </c:spPr>
    </c:floor>
    <c:sideWall>
      <c:thickness val="0"/>
      <c:spPr>
        <a:solidFill>
          <a:srgbClr val="C0C0C0"/>
        </a:solidFill>
        <a:ln w="12700">
          <a:solidFill>
            <a:srgbClr val="808080"/>
          </a:solidFill>
          <a:prstDash val="solid"/>
        </a:ln>
      </c:spPr>
    </c:sideWall>
    <c:backWall>
      <c:thickness val="0"/>
      <c:spPr>
        <a:solidFill>
          <a:srgbClr val="C0C0C0"/>
        </a:solidFill>
        <a:ln w="12700">
          <a:solidFill>
            <a:srgbClr val="808080"/>
          </a:solidFill>
          <a:prstDash val="solid"/>
        </a:ln>
      </c:spPr>
    </c:backWall>
    <c:plotArea>
      <c:layout>
        <c:manualLayout>
          <c:layoutTarget val="inner"/>
          <c:xMode val="edge"/>
          <c:yMode val="edge"/>
          <c:x val="0.23613616332891055"/>
          <c:y val="0.15300587273168739"/>
          <c:w val="0.42576065812333874"/>
          <c:h val="0.66666844547378079"/>
        </c:manualLayout>
      </c:layout>
      <c:bar3DChart>
        <c:barDir val="col"/>
        <c:grouping val="standard"/>
        <c:varyColors val="0"/>
        <c:ser>
          <c:idx val="0"/>
          <c:order val="0"/>
          <c:tx>
            <c:strRef>
              <c:f>'coef interp 3, by hand'!$B$71</c:f>
              <c:strCache>
                <c:ptCount val="1"/>
                <c:pt idx="0">
                  <c:v>Black</c:v>
                </c:pt>
              </c:strCache>
            </c:strRef>
          </c:tx>
          <c:spPr>
            <a:solidFill>
              <a:srgbClr val="800000"/>
            </a:solidFill>
            <a:ln w="12700">
              <a:solidFill>
                <a:srgbClr val="000000"/>
              </a:solidFill>
              <a:prstDash val="solid"/>
            </a:ln>
          </c:spPr>
          <c:invertIfNegative val="1"/>
          <c:cat>
            <c:strRef>
              <c:f>'coef interp 3, by hand'!$C$70:$G$70</c:f>
              <c:strCache>
                <c:ptCount val="5"/>
                <c:pt idx="0">
                  <c:v>Black</c:v>
                </c:pt>
                <c:pt idx="1">
                  <c:v>Mexican</c:v>
                </c:pt>
                <c:pt idx="2">
                  <c:v>Oth H</c:v>
                </c:pt>
                <c:pt idx="3">
                  <c:v>Oth NH</c:v>
                </c:pt>
                <c:pt idx="4">
                  <c:v>White</c:v>
                </c:pt>
              </c:strCache>
            </c:strRef>
          </c:cat>
          <c:val>
            <c:numRef>
              <c:f>'coef interp 3, by hand'!$S$71:$W$71</c:f>
              <c:numCache>
                <c:formatCode>General</c:formatCode>
                <c:ptCount val="5"/>
                <c:pt idx="0">
                  <c:v>-1.3555893519126867</c:v>
                </c:pt>
                <c:pt idx="1">
                  <c:v>-1.8426936734786681E-2</c:v>
                </c:pt>
                <c:pt idx="2">
                  <c:v>-4.3973516672727198E-2</c:v>
                </c:pt>
                <c:pt idx="3">
                  <c:v>0.72609635991942567</c:v>
                </c:pt>
                <c:pt idx="4">
                  <c:v>0.6918934454007859</c:v>
                </c:pt>
              </c:numCache>
            </c:numRef>
          </c:val>
          <c:extLst>
            <c:ext xmlns:c14="http://schemas.microsoft.com/office/drawing/2007/8/2/chart" uri="{6F2FDCE9-48DA-4B69-8628-5D25D57E5C99}">
              <c14:invertSolidFillFmt>
                <c14:spPr xmlns:c14="http://schemas.microsoft.com/office/drawing/2007/8/2/chart">
                  <a:solidFill>
                    <a:srgbClr val="FFFFFF"/>
                  </a:solidFill>
                  <a:ln w="12700">
                    <a:solidFill>
                      <a:srgbClr val="000000"/>
                    </a:solidFill>
                    <a:prstDash val="solid"/>
                  </a:ln>
                </c14:spPr>
              </c14:invertSolidFillFmt>
            </c:ext>
          </c:extLst>
        </c:ser>
        <c:ser>
          <c:idx val="1"/>
          <c:order val="1"/>
          <c:tx>
            <c:strRef>
              <c:f>'coef interp 3, by hand'!$B$72</c:f>
              <c:strCache>
                <c:ptCount val="1"/>
                <c:pt idx="0">
                  <c:v>Mexican</c:v>
                </c:pt>
              </c:strCache>
            </c:strRef>
          </c:tx>
          <c:spPr>
            <a:solidFill>
              <a:srgbClr val="800000"/>
            </a:solidFill>
            <a:ln w="12700">
              <a:solidFill>
                <a:srgbClr val="000000"/>
              </a:solidFill>
              <a:prstDash val="solid"/>
            </a:ln>
          </c:spPr>
          <c:invertIfNegative val="1"/>
          <c:cat>
            <c:strRef>
              <c:f>'coef interp 3, by hand'!$C$70:$G$70</c:f>
              <c:strCache>
                <c:ptCount val="5"/>
                <c:pt idx="0">
                  <c:v>Black</c:v>
                </c:pt>
                <c:pt idx="1">
                  <c:v>Mexican</c:v>
                </c:pt>
                <c:pt idx="2">
                  <c:v>Oth H</c:v>
                </c:pt>
                <c:pt idx="3">
                  <c:v>Oth NH</c:v>
                </c:pt>
                <c:pt idx="4">
                  <c:v>White</c:v>
                </c:pt>
              </c:strCache>
            </c:strRef>
          </c:cat>
          <c:val>
            <c:numRef>
              <c:f>'coef interp 3, by hand'!$S$72:$W$72</c:f>
              <c:numCache>
                <c:formatCode>General</c:formatCode>
                <c:ptCount val="5"/>
                <c:pt idx="0">
                  <c:v>-0.70196701958736707</c:v>
                </c:pt>
                <c:pt idx="1">
                  <c:v>0.13130825973978233</c:v>
                </c:pt>
                <c:pt idx="2">
                  <c:v>0.40671724805072401</c:v>
                </c:pt>
                <c:pt idx="3">
                  <c:v>9.4497778997210458E-2</c:v>
                </c:pt>
                <c:pt idx="4">
                  <c:v>6.9443732799660374E-2</c:v>
                </c:pt>
              </c:numCache>
            </c:numRef>
          </c:val>
          <c:extLst>
            <c:ext xmlns:c14="http://schemas.microsoft.com/office/drawing/2007/8/2/chart" uri="{6F2FDCE9-48DA-4B69-8628-5D25D57E5C99}">
              <c14:invertSolidFillFmt>
                <c14:spPr xmlns:c14="http://schemas.microsoft.com/office/drawing/2007/8/2/chart">
                  <a:solidFill>
                    <a:srgbClr val="FFFFFF"/>
                  </a:solidFill>
                  <a:ln w="12700">
                    <a:solidFill>
                      <a:srgbClr val="000000"/>
                    </a:solidFill>
                    <a:prstDash val="solid"/>
                  </a:ln>
                </c14:spPr>
              </c14:invertSolidFillFmt>
            </c:ext>
          </c:extLst>
        </c:ser>
        <c:ser>
          <c:idx val="2"/>
          <c:order val="2"/>
          <c:tx>
            <c:strRef>
              <c:f>'coef interp 3, by hand'!$B$73</c:f>
              <c:strCache>
                <c:ptCount val="1"/>
                <c:pt idx="0">
                  <c:v>Oth H</c:v>
                </c:pt>
              </c:strCache>
            </c:strRef>
          </c:tx>
          <c:spPr>
            <a:solidFill>
              <a:srgbClr val="800000"/>
            </a:solidFill>
            <a:ln w="12700">
              <a:solidFill>
                <a:srgbClr val="000000"/>
              </a:solidFill>
              <a:prstDash val="solid"/>
            </a:ln>
          </c:spPr>
          <c:invertIfNegative val="1"/>
          <c:cat>
            <c:strRef>
              <c:f>'coef interp 3, by hand'!$C$70:$G$70</c:f>
              <c:strCache>
                <c:ptCount val="5"/>
                <c:pt idx="0">
                  <c:v>Black</c:v>
                </c:pt>
                <c:pt idx="1">
                  <c:v>Mexican</c:v>
                </c:pt>
                <c:pt idx="2">
                  <c:v>Oth H</c:v>
                </c:pt>
                <c:pt idx="3">
                  <c:v>Oth NH</c:v>
                </c:pt>
                <c:pt idx="4">
                  <c:v>White</c:v>
                </c:pt>
              </c:strCache>
            </c:strRef>
          </c:cat>
          <c:val>
            <c:numRef>
              <c:f>'coef interp 3, by hand'!$S$73:$W$73</c:f>
              <c:numCache>
                <c:formatCode>General</c:formatCode>
                <c:ptCount val="5"/>
                <c:pt idx="0">
                  <c:v>0.71260544770559486</c:v>
                </c:pt>
                <c:pt idx="1">
                  <c:v>0.17932007798344307</c:v>
                </c:pt>
                <c:pt idx="2">
                  <c:v>-0.37367885533018086</c:v>
                </c:pt>
                <c:pt idx="3">
                  <c:v>-0.29537754691792317</c:v>
                </c:pt>
                <c:pt idx="4">
                  <c:v>-0.22286912344092336</c:v>
                </c:pt>
              </c:numCache>
            </c:numRef>
          </c:val>
          <c:extLst>
            <c:ext xmlns:c14="http://schemas.microsoft.com/office/drawing/2007/8/2/chart" uri="{6F2FDCE9-48DA-4B69-8628-5D25D57E5C99}">
              <c14:invertSolidFillFmt>
                <c14:spPr xmlns:c14="http://schemas.microsoft.com/office/drawing/2007/8/2/chart">
                  <a:solidFill>
                    <a:srgbClr val="FFFFFF"/>
                  </a:solidFill>
                  <a:ln w="12700">
                    <a:solidFill>
                      <a:srgbClr val="000000"/>
                    </a:solidFill>
                    <a:prstDash val="solid"/>
                  </a:ln>
                </c14:spPr>
              </c14:invertSolidFillFmt>
            </c:ext>
          </c:extLst>
        </c:ser>
        <c:ser>
          <c:idx val="3"/>
          <c:order val="3"/>
          <c:tx>
            <c:strRef>
              <c:f>'coef interp 3, by hand'!$B$74</c:f>
              <c:strCache>
                <c:ptCount val="1"/>
                <c:pt idx="0">
                  <c:v>Oth NH</c:v>
                </c:pt>
              </c:strCache>
            </c:strRef>
          </c:tx>
          <c:spPr>
            <a:solidFill>
              <a:srgbClr val="800000"/>
            </a:solidFill>
            <a:ln w="12700">
              <a:solidFill>
                <a:srgbClr val="000000"/>
              </a:solidFill>
              <a:prstDash val="solid"/>
            </a:ln>
          </c:spPr>
          <c:invertIfNegative val="1"/>
          <c:cat>
            <c:strRef>
              <c:f>'coef interp 3, by hand'!$C$70:$G$70</c:f>
              <c:strCache>
                <c:ptCount val="5"/>
                <c:pt idx="0">
                  <c:v>Black</c:v>
                </c:pt>
                <c:pt idx="1">
                  <c:v>Mexican</c:v>
                </c:pt>
                <c:pt idx="2">
                  <c:v>Oth H</c:v>
                </c:pt>
                <c:pt idx="3">
                  <c:v>Oth NH</c:v>
                </c:pt>
                <c:pt idx="4">
                  <c:v>White</c:v>
                </c:pt>
              </c:strCache>
            </c:strRef>
          </c:cat>
          <c:val>
            <c:numRef>
              <c:f>'coef interp 3, by hand'!$S$74:$W$74</c:f>
              <c:numCache>
                <c:formatCode>General</c:formatCode>
                <c:ptCount val="5"/>
                <c:pt idx="0">
                  <c:v>0.60737765766501717</c:v>
                </c:pt>
                <c:pt idx="1">
                  <c:v>0.17656401969480112</c:v>
                </c:pt>
                <c:pt idx="2">
                  <c:v>-5.4551408497022225E-3</c:v>
                </c:pt>
                <c:pt idx="3">
                  <c:v>-0.85257248010262443</c:v>
                </c:pt>
                <c:pt idx="4">
                  <c:v>7.408594359251941E-2</c:v>
                </c:pt>
              </c:numCache>
            </c:numRef>
          </c:val>
          <c:extLst>
            <c:ext xmlns:c14="http://schemas.microsoft.com/office/drawing/2007/8/2/chart" uri="{6F2FDCE9-48DA-4B69-8628-5D25D57E5C99}">
              <c14:invertSolidFillFmt>
                <c14:spPr xmlns:c14="http://schemas.microsoft.com/office/drawing/2007/8/2/chart">
                  <a:solidFill>
                    <a:srgbClr val="FFFFFF"/>
                  </a:solidFill>
                  <a:ln w="12700">
                    <a:solidFill>
                      <a:srgbClr val="000000"/>
                    </a:solidFill>
                    <a:prstDash val="solid"/>
                  </a:ln>
                </c14:spPr>
              </c14:invertSolidFillFmt>
            </c:ext>
          </c:extLst>
        </c:ser>
        <c:ser>
          <c:idx val="4"/>
          <c:order val="4"/>
          <c:tx>
            <c:strRef>
              <c:f>'coef interp 3, by hand'!$B$75</c:f>
              <c:strCache>
                <c:ptCount val="1"/>
                <c:pt idx="0">
                  <c:v>White</c:v>
                </c:pt>
              </c:strCache>
            </c:strRef>
          </c:tx>
          <c:spPr>
            <a:solidFill>
              <a:srgbClr val="800000"/>
            </a:solidFill>
            <a:ln w="12700">
              <a:solidFill>
                <a:srgbClr val="000000"/>
              </a:solidFill>
              <a:prstDash val="solid"/>
            </a:ln>
          </c:spPr>
          <c:invertIfNegative val="1"/>
          <c:cat>
            <c:strRef>
              <c:f>'coef interp 3, by hand'!$C$70:$G$70</c:f>
              <c:strCache>
                <c:ptCount val="5"/>
                <c:pt idx="0">
                  <c:v>Black</c:v>
                </c:pt>
                <c:pt idx="1">
                  <c:v>Mexican</c:v>
                </c:pt>
                <c:pt idx="2">
                  <c:v>Oth H</c:v>
                </c:pt>
                <c:pt idx="3">
                  <c:v>Oth NH</c:v>
                </c:pt>
                <c:pt idx="4">
                  <c:v>White</c:v>
                </c:pt>
              </c:strCache>
            </c:strRef>
          </c:cat>
          <c:val>
            <c:numRef>
              <c:f>'coef interp 3, by hand'!$S$75:$W$75</c:f>
              <c:numCache>
                <c:formatCode>General</c:formatCode>
                <c:ptCount val="5"/>
                <c:pt idx="0">
                  <c:v>0.73757326612945118</c:v>
                </c:pt>
                <c:pt idx="1">
                  <c:v>-0.4687654206832288</c:v>
                </c:pt>
                <c:pt idx="2">
                  <c:v>1.6390264801897092E-2</c:v>
                </c:pt>
                <c:pt idx="3">
                  <c:v>0.32735588810392258</c:v>
                </c:pt>
                <c:pt idx="4">
                  <c:v>-0.61255399835203139</c:v>
                </c:pt>
              </c:numCache>
            </c:numRef>
          </c:val>
          <c:extLst>
            <c:ext xmlns:c14="http://schemas.microsoft.com/office/drawing/2007/8/2/chart" uri="{6F2FDCE9-48DA-4B69-8628-5D25D57E5C99}">
              <c14:invertSolidFillFmt>
                <c14:spPr xmlns:c14="http://schemas.microsoft.com/office/drawing/2007/8/2/chart">
                  <a:solidFill>
                    <a:srgbClr val="FFFFFF"/>
                  </a:solidFill>
                  <a:ln w="12700">
                    <a:solidFill>
                      <a:srgbClr val="000000"/>
                    </a:solidFill>
                    <a:prstDash val="solid"/>
                  </a:ln>
                </c14:spPr>
              </c14:invertSolidFillFmt>
            </c:ext>
          </c:extLst>
        </c:ser>
        <c:dLbls>
          <c:showLegendKey val="0"/>
          <c:showVal val="0"/>
          <c:showCatName val="0"/>
          <c:showSerName val="0"/>
          <c:showPercent val="0"/>
          <c:showBubbleSize val="0"/>
        </c:dLbls>
        <c:gapWidth val="150"/>
        <c:shape val="box"/>
        <c:axId val="362979992"/>
        <c:axId val="362978424"/>
        <c:axId val="363457632"/>
      </c:bar3DChart>
      <c:catAx>
        <c:axId val="362979992"/>
        <c:scaling>
          <c:orientation val="maxMin"/>
        </c:scaling>
        <c:delete val="0"/>
        <c:axPos val="b"/>
        <c:title>
          <c:tx>
            <c:rich>
              <a:bodyPr/>
              <a:lstStyle/>
              <a:p>
                <a:pPr>
                  <a:defRPr sz="1000" b="1" i="0" u="none" strike="noStrike" baseline="0">
                    <a:solidFill>
                      <a:srgbClr val="000000"/>
                    </a:solidFill>
                    <a:latin typeface="Arial"/>
                    <a:ea typeface="Arial"/>
                    <a:cs typeface="Arial"/>
                  </a:defRPr>
                </a:pPr>
                <a:r>
                  <a:rPr lang="en-US"/>
                  <a:t>Wife</a:t>
                </a:r>
              </a:p>
            </c:rich>
          </c:tx>
          <c:layout>
            <c:manualLayout>
              <c:xMode val="edge"/>
              <c:yMode val="edge"/>
              <c:x val="0.271914369893897"/>
              <c:y val="0.88798051138925727"/>
            </c:manualLayout>
          </c:layout>
          <c:overlay val="0"/>
          <c:spPr>
            <a:noFill/>
            <a:ln w="25400">
              <a:noFill/>
            </a:ln>
          </c:spPr>
        </c:title>
        <c:numFmt formatCode="General" sourceLinked="1"/>
        <c:majorTickMark val="out"/>
        <c:minorTickMark val="none"/>
        <c:tickLblPos val="low"/>
        <c:spPr>
          <a:ln w="3175">
            <a:solidFill>
              <a:srgbClr val="000000"/>
            </a:solidFill>
            <a:prstDash val="solid"/>
          </a:ln>
        </c:spPr>
        <c:txPr>
          <a:bodyPr rot="-5400000" vert="horz"/>
          <a:lstStyle/>
          <a:p>
            <a:pPr>
              <a:defRPr sz="1000" b="0" i="0" u="none" strike="noStrike" baseline="0">
                <a:solidFill>
                  <a:srgbClr val="000000"/>
                </a:solidFill>
                <a:latin typeface="Arial Narrow"/>
                <a:ea typeface="Arial Narrow"/>
                <a:cs typeface="Arial Narrow"/>
              </a:defRPr>
            </a:pPr>
            <a:endParaRPr lang="en-US"/>
          </a:p>
        </c:txPr>
        <c:crossAx val="362978424"/>
        <c:crosses val="autoZero"/>
        <c:auto val="1"/>
        <c:lblAlgn val="ctr"/>
        <c:lblOffset val="100"/>
        <c:tickLblSkip val="1"/>
        <c:tickMarkSkip val="1"/>
        <c:noMultiLvlLbl val="1"/>
      </c:catAx>
      <c:valAx>
        <c:axId val="362978424"/>
        <c:scaling>
          <c:orientation val="minMax"/>
          <c:max val="5"/>
          <c:min val="-2"/>
        </c:scaling>
        <c:delete val="0"/>
        <c:axPos val="r"/>
        <c:majorGridlines>
          <c:spPr>
            <a:ln w="3175">
              <a:solidFill>
                <a:srgbClr val="000000"/>
              </a:solidFill>
              <a:prstDash val="solid"/>
            </a:ln>
          </c:spPr>
        </c:majorGridlines>
        <c:title>
          <c:tx>
            <c:rich>
              <a:bodyPr rot="0" vert="horz"/>
              <a:lstStyle/>
              <a:p>
                <a:pPr algn="ctr">
                  <a:defRPr sz="1000" b="1" i="0" u="none" strike="noStrike" baseline="0">
                    <a:solidFill>
                      <a:srgbClr val="000000"/>
                    </a:solidFill>
                    <a:latin typeface="Arial Narrow"/>
                    <a:ea typeface="Arial Narrow"/>
                    <a:cs typeface="Arial Narrow"/>
                  </a:defRPr>
                </a:pPr>
                <a:r>
                  <a:rPr lang="en-US"/>
                  <a:t>Relative log count, controlling for size, rows and columns sum to zero</a:t>
                </a:r>
              </a:p>
            </c:rich>
          </c:tx>
          <c:layout>
            <c:manualLayout>
              <c:xMode val="edge"/>
              <c:yMode val="edge"/>
              <c:x val="1.2522372297745256E-2"/>
              <c:y val="0.3907114250112732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en-US"/>
          </a:p>
        </c:txPr>
        <c:crossAx val="362979992"/>
        <c:crosses val="autoZero"/>
        <c:crossBetween val="between"/>
      </c:valAx>
      <c:serAx>
        <c:axId val="363457632"/>
        <c:scaling>
          <c:orientation val="minMax"/>
        </c:scaling>
        <c:delete val="0"/>
        <c:axPos val="b"/>
        <c:title>
          <c:tx>
            <c:rich>
              <a:bodyPr/>
              <a:lstStyle/>
              <a:p>
                <a:pPr>
                  <a:defRPr sz="1000" b="1" i="0" u="none" strike="noStrike" baseline="0">
                    <a:solidFill>
                      <a:srgbClr val="000000"/>
                    </a:solidFill>
                    <a:latin typeface="Arial"/>
                    <a:ea typeface="Arial"/>
                    <a:cs typeface="Arial"/>
                  </a:defRPr>
                </a:pPr>
                <a:r>
                  <a:rPr lang="en-US"/>
                  <a:t>husband</a:t>
                </a:r>
              </a:p>
            </c:rich>
          </c:tx>
          <c:layout>
            <c:manualLayout>
              <c:xMode val="edge"/>
              <c:yMode val="edge"/>
              <c:x val="0.72987541392572353"/>
              <c:y val="0.71311665683875736"/>
            </c:manualLayout>
          </c:layout>
          <c:overlay val="0"/>
          <c:spPr>
            <a:noFill/>
            <a:ln w="25400">
              <a:noFill/>
            </a:ln>
          </c:spPr>
        </c:title>
        <c:numFmt formatCode="General" sourceLinked="1"/>
        <c:majorTickMark val="out"/>
        <c:minorTickMark val="none"/>
        <c:tickLblPos val="low"/>
        <c:spPr>
          <a:ln w="3175">
            <a:solidFill>
              <a:srgbClr val="000000"/>
            </a:solidFill>
            <a:prstDash val="solid"/>
          </a:ln>
        </c:spPr>
        <c:txPr>
          <a:bodyPr rot="0" vert="horz"/>
          <a:lstStyle/>
          <a:p>
            <a:pPr>
              <a:defRPr sz="1000" b="0" i="0" u="none" strike="noStrike" baseline="0">
                <a:solidFill>
                  <a:srgbClr val="000000"/>
                </a:solidFill>
                <a:latin typeface="Arial Narrow"/>
                <a:ea typeface="Arial Narrow"/>
                <a:cs typeface="Arial Narrow"/>
              </a:defRPr>
            </a:pPr>
            <a:endParaRPr lang="en-US"/>
          </a:p>
        </c:txPr>
        <c:crossAx val="362978424"/>
        <c:crosses val="autoZero"/>
        <c:tickLblSkip val="2"/>
        <c:tickMarkSkip val="1"/>
      </c:ser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Arial"/>
                <a:ea typeface="Arial"/>
                <a:cs typeface="Arial"/>
              </a:defRPr>
            </a:pPr>
            <a:r>
              <a:rPr lang="en-US"/>
              <a:t>categorical changes in log relative risk for endogamy over time</a:t>
            </a:r>
          </a:p>
        </c:rich>
      </c:tx>
      <c:layout>
        <c:manualLayout>
          <c:xMode val="edge"/>
          <c:yMode val="edge"/>
          <c:x val="0.11694510739856802"/>
          <c:y val="3.3248123361726944E-2"/>
        </c:manualLayout>
      </c:layout>
      <c:overlay val="0"/>
      <c:spPr>
        <a:noFill/>
        <a:ln w="25400">
          <a:noFill/>
        </a:ln>
      </c:spPr>
    </c:title>
    <c:autoTitleDeleted val="0"/>
    <c:plotArea>
      <c:layout>
        <c:manualLayout>
          <c:layoutTarget val="inner"/>
          <c:xMode val="edge"/>
          <c:yMode val="edge"/>
          <c:x val="0.13842482100238662"/>
          <c:y val="0.23273686353208861"/>
          <c:w val="0.5059665871121718"/>
          <c:h val="0.65217472748002847"/>
        </c:manualLayout>
      </c:layout>
      <c:scatterChart>
        <c:scatterStyle val="lineMarker"/>
        <c:varyColors val="0"/>
        <c:ser>
          <c:idx val="0"/>
          <c:order val="0"/>
          <c:tx>
            <c:strRef>
              <c:f>'continuous and categorical'!$A$11</c:f>
              <c:strCache>
                <c:ptCount val="1"/>
                <c:pt idx="0">
                  <c:v>black</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xVal>
            <c:numRef>
              <c:f>'continuous and categorical'!$E$10:$G$10</c:f>
              <c:numCache>
                <c:formatCode>General</c:formatCode>
                <c:ptCount val="3"/>
                <c:pt idx="0">
                  <c:v>1970</c:v>
                </c:pt>
                <c:pt idx="1">
                  <c:v>1980</c:v>
                </c:pt>
                <c:pt idx="2">
                  <c:v>1990</c:v>
                </c:pt>
              </c:numCache>
            </c:numRef>
          </c:xVal>
          <c:yVal>
            <c:numRef>
              <c:f>'continuous and categorical'!$E$11:$G$11</c:f>
              <c:numCache>
                <c:formatCode>General</c:formatCode>
                <c:ptCount val="3"/>
                <c:pt idx="0">
                  <c:v>7.7329999999999997</c:v>
                </c:pt>
                <c:pt idx="1">
                  <c:v>7.117</c:v>
                </c:pt>
                <c:pt idx="2">
                  <c:v>6.34</c:v>
                </c:pt>
              </c:numCache>
            </c:numRef>
          </c:yVal>
          <c:smooth val="0"/>
        </c:ser>
        <c:ser>
          <c:idx val="1"/>
          <c:order val="1"/>
          <c:tx>
            <c:strRef>
              <c:f>'continuous and categorical'!$A$12</c:f>
              <c:strCache>
                <c:ptCount val="1"/>
                <c:pt idx="0">
                  <c:v>Mexican</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xVal>
            <c:numRef>
              <c:f>'continuous and categorical'!$E$10:$G$10</c:f>
              <c:numCache>
                <c:formatCode>General</c:formatCode>
                <c:ptCount val="3"/>
                <c:pt idx="0">
                  <c:v>1970</c:v>
                </c:pt>
                <c:pt idx="1">
                  <c:v>1980</c:v>
                </c:pt>
                <c:pt idx="2">
                  <c:v>1990</c:v>
                </c:pt>
              </c:numCache>
            </c:numRef>
          </c:xVal>
          <c:yVal>
            <c:numRef>
              <c:f>'continuous and categorical'!$E$12:$G$12</c:f>
              <c:numCache>
                <c:formatCode>General</c:formatCode>
                <c:ptCount val="3"/>
                <c:pt idx="0">
                  <c:v>3.625</c:v>
                </c:pt>
                <c:pt idx="1">
                  <c:v>3.3929999999999998</c:v>
                </c:pt>
                <c:pt idx="2">
                  <c:v>3.0960000000000001</c:v>
                </c:pt>
              </c:numCache>
            </c:numRef>
          </c:yVal>
          <c:smooth val="0"/>
        </c:ser>
        <c:ser>
          <c:idx val="2"/>
          <c:order val="2"/>
          <c:tx>
            <c:strRef>
              <c:f>'continuous and categorical'!$A$13</c:f>
              <c:strCache>
                <c:ptCount val="1"/>
                <c:pt idx="0">
                  <c:v>Other Hisp</c:v>
                </c:pt>
              </c:strCache>
            </c:strRef>
          </c:tx>
          <c:spPr>
            <a:ln w="38100">
              <a:solidFill>
                <a:srgbClr val="008000"/>
              </a:solidFill>
              <a:prstDash val="lgDash"/>
            </a:ln>
          </c:spPr>
          <c:marker>
            <c:symbol val="triangle"/>
            <c:size val="5"/>
            <c:spPr>
              <a:solidFill>
                <a:srgbClr val="008000"/>
              </a:solidFill>
              <a:ln>
                <a:solidFill>
                  <a:srgbClr val="008000"/>
                </a:solidFill>
                <a:prstDash val="solid"/>
              </a:ln>
            </c:spPr>
          </c:marker>
          <c:xVal>
            <c:numRef>
              <c:f>'continuous and categorical'!$E$10:$G$10</c:f>
              <c:numCache>
                <c:formatCode>General</c:formatCode>
                <c:ptCount val="3"/>
                <c:pt idx="0">
                  <c:v>1970</c:v>
                </c:pt>
                <c:pt idx="1">
                  <c:v>1980</c:v>
                </c:pt>
                <c:pt idx="2">
                  <c:v>1990</c:v>
                </c:pt>
              </c:numCache>
            </c:numRef>
          </c:xVal>
          <c:yVal>
            <c:numRef>
              <c:f>'continuous and categorical'!$E$13:$G$13</c:f>
              <c:numCache>
                <c:formatCode>General</c:formatCode>
                <c:ptCount val="3"/>
                <c:pt idx="0">
                  <c:v>3.2029999999999998</c:v>
                </c:pt>
                <c:pt idx="1">
                  <c:v>2.48</c:v>
                </c:pt>
                <c:pt idx="2">
                  <c:v>2.6059999999999999</c:v>
                </c:pt>
              </c:numCache>
            </c:numRef>
          </c:yVal>
          <c:smooth val="0"/>
        </c:ser>
        <c:ser>
          <c:idx val="3"/>
          <c:order val="3"/>
          <c:tx>
            <c:strRef>
              <c:f>'continuous and categorical'!$A$14</c:f>
              <c:strCache>
                <c:ptCount val="1"/>
                <c:pt idx="0">
                  <c:v>Other Non Hisp</c:v>
                </c:pt>
              </c:strCache>
            </c:strRef>
          </c:tx>
          <c:spPr>
            <a:ln w="38100">
              <a:solidFill>
                <a:srgbClr val="FF0000"/>
              </a:solidFill>
              <a:prstDash val="lgDash"/>
            </a:ln>
          </c:spPr>
          <c:marker>
            <c:symbol val="x"/>
            <c:size val="5"/>
            <c:spPr>
              <a:noFill/>
              <a:ln>
                <a:solidFill>
                  <a:srgbClr val="FF0000"/>
                </a:solidFill>
                <a:prstDash val="solid"/>
              </a:ln>
            </c:spPr>
          </c:marker>
          <c:xVal>
            <c:numRef>
              <c:f>'continuous and categorical'!$E$10:$G$10</c:f>
              <c:numCache>
                <c:formatCode>General</c:formatCode>
                <c:ptCount val="3"/>
                <c:pt idx="0">
                  <c:v>1970</c:v>
                </c:pt>
                <c:pt idx="1">
                  <c:v>1980</c:v>
                </c:pt>
                <c:pt idx="2">
                  <c:v>1990</c:v>
                </c:pt>
              </c:numCache>
            </c:numRef>
          </c:xVal>
          <c:yVal>
            <c:numRef>
              <c:f>'continuous and categorical'!$E$14:$G$14</c:f>
              <c:numCache>
                <c:formatCode>General</c:formatCode>
                <c:ptCount val="3"/>
                <c:pt idx="0">
                  <c:v>3.1859999999999999</c:v>
                </c:pt>
                <c:pt idx="1">
                  <c:v>2.157</c:v>
                </c:pt>
                <c:pt idx="2">
                  <c:v>2.0009999999999999</c:v>
                </c:pt>
              </c:numCache>
            </c:numRef>
          </c:yVal>
          <c:smooth val="0"/>
        </c:ser>
        <c:ser>
          <c:idx val="4"/>
          <c:order val="4"/>
          <c:tx>
            <c:strRef>
              <c:f>'continuous and categorical'!$A$15</c:f>
              <c:strCache>
                <c:ptCount val="1"/>
                <c:pt idx="0">
                  <c:v>white</c:v>
                </c:pt>
              </c:strCache>
            </c:strRef>
          </c:tx>
          <c:spPr>
            <a:ln w="12700">
              <a:solidFill>
                <a:srgbClr val="800080"/>
              </a:solidFill>
              <a:prstDash val="solid"/>
            </a:ln>
          </c:spPr>
          <c:marker>
            <c:symbol val="star"/>
            <c:size val="5"/>
            <c:spPr>
              <a:noFill/>
              <a:ln>
                <a:solidFill>
                  <a:srgbClr val="800080"/>
                </a:solidFill>
                <a:prstDash val="solid"/>
              </a:ln>
            </c:spPr>
          </c:marker>
          <c:xVal>
            <c:numRef>
              <c:f>'continuous and categorical'!$E$10:$G$10</c:f>
              <c:numCache>
                <c:formatCode>General</c:formatCode>
                <c:ptCount val="3"/>
                <c:pt idx="0">
                  <c:v>1970</c:v>
                </c:pt>
                <c:pt idx="1">
                  <c:v>1980</c:v>
                </c:pt>
                <c:pt idx="2">
                  <c:v>1990</c:v>
                </c:pt>
              </c:numCache>
            </c:numRef>
          </c:xVal>
          <c:yVal>
            <c:numRef>
              <c:f>'continuous and categorical'!$E$15:$G$15</c:f>
              <c:numCache>
                <c:formatCode>General</c:formatCode>
                <c:ptCount val="3"/>
                <c:pt idx="0">
                  <c:v>3.1360000000000001</c:v>
                </c:pt>
                <c:pt idx="1">
                  <c:v>2.5529999999999999</c:v>
                </c:pt>
                <c:pt idx="2">
                  <c:v>2.2970000000000002</c:v>
                </c:pt>
              </c:numCache>
            </c:numRef>
          </c:yVal>
          <c:smooth val="0"/>
        </c:ser>
        <c:dLbls>
          <c:showLegendKey val="0"/>
          <c:showVal val="0"/>
          <c:showCatName val="0"/>
          <c:showSerName val="0"/>
          <c:showPercent val="0"/>
          <c:showBubbleSize val="0"/>
        </c:dLbls>
        <c:axId val="362979208"/>
        <c:axId val="362978816"/>
      </c:scatterChart>
      <c:valAx>
        <c:axId val="362979208"/>
        <c:scaling>
          <c:orientation val="minMax"/>
          <c:max val="1990"/>
          <c:min val="1970"/>
        </c:scaling>
        <c:delete val="0"/>
        <c:axPos val="b"/>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en-US"/>
          </a:p>
        </c:txPr>
        <c:crossAx val="362978816"/>
        <c:crosses val="autoZero"/>
        <c:crossBetween val="midCat"/>
        <c:majorUnit val="10"/>
      </c:valAx>
      <c:valAx>
        <c:axId val="362978816"/>
        <c:scaling>
          <c:orientation val="minMax"/>
        </c:scaling>
        <c:delete val="0"/>
        <c:axPos val="l"/>
        <c:majorGridlines>
          <c:spPr>
            <a:ln w="3175">
              <a:solidFill>
                <a:srgbClr val="000000"/>
              </a:solidFill>
              <a:prstDash val="solid"/>
            </a:ln>
          </c:spPr>
        </c:majorGridlines>
        <c:title>
          <c:tx>
            <c:rich>
              <a:bodyPr/>
              <a:lstStyle/>
              <a:p>
                <a:pPr>
                  <a:defRPr sz="1000" b="0" i="0" u="none" strike="noStrike" baseline="0">
                    <a:solidFill>
                      <a:srgbClr val="000000"/>
                    </a:solidFill>
                    <a:latin typeface="Arial"/>
                    <a:ea typeface="Arial"/>
                    <a:cs typeface="Arial"/>
                  </a:defRPr>
                </a:pPr>
                <a:r>
                  <a:rPr lang="en-US"/>
                  <a:t>log relative risk for endogamy</a:t>
                </a:r>
              </a:p>
            </c:rich>
          </c:tx>
          <c:layout>
            <c:manualLayout>
              <c:xMode val="edge"/>
              <c:yMode val="edge"/>
              <c:x val="3.8186157517899763E-2"/>
              <c:y val="0.33759632951907359"/>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en-US"/>
          </a:p>
        </c:txPr>
        <c:crossAx val="362979208"/>
        <c:crosses val="autoZero"/>
        <c:crossBetween val="midCat"/>
      </c:valAx>
      <c:spPr>
        <a:noFill/>
        <a:ln w="12700">
          <a:solidFill>
            <a:srgbClr val="808080"/>
          </a:solidFill>
          <a:prstDash val="solid"/>
        </a:ln>
      </c:spPr>
    </c:plotArea>
    <c:legend>
      <c:legendPos val="r"/>
      <c:layout>
        <c:manualLayout>
          <c:xMode val="edge"/>
          <c:yMode val="edge"/>
          <c:x val="0.70883054892601427"/>
          <c:y val="0.32225104181366115"/>
          <c:w val="0.27207637231503579"/>
          <c:h val="0.47570391886778551"/>
        </c:manualLayout>
      </c:layout>
      <c:overlay val="0"/>
      <c:spPr>
        <a:solidFill>
          <a:srgbClr val="FFFFFF"/>
        </a:solidFill>
        <a:ln w="3175">
          <a:solidFill>
            <a:srgbClr val="000000"/>
          </a:solidFill>
          <a:prstDash val="solid"/>
        </a:ln>
      </c:spPr>
      <c:txPr>
        <a:bodyPr/>
        <a:lstStyle/>
        <a:p>
          <a:pPr>
            <a:defRPr sz="920" b="0"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Arial"/>
                <a:ea typeface="Arial"/>
                <a:cs typeface="Arial"/>
              </a:defRPr>
            </a:pPr>
            <a:r>
              <a:rPr lang="en-US"/>
              <a:t>Linear changes in log relative risk for endogamy over time</a:t>
            </a:r>
          </a:p>
        </c:rich>
      </c:tx>
      <c:layout>
        <c:manualLayout>
          <c:xMode val="edge"/>
          <c:yMode val="edge"/>
          <c:x val="0.15952418044126776"/>
          <c:y val="3.3163265306122451E-2"/>
        </c:manualLayout>
      </c:layout>
      <c:overlay val="0"/>
      <c:spPr>
        <a:noFill/>
        <a:ln w="25400">
          <a:noFill/>
        </a:ln>
      </c:spPr>
    </c:title>
    <c:autoTitleDeleted val="0"/>
    <c:plotArea>
      <c:layout>
        <c:manualLayout>
          <c:layoutTarget val="inner"/>
          <c:xMode val="edge"/>
          <c:yMode val="edge"/>
          <c:x val="0.13809555918796315"/>
          <c:y val="0.23214285714285715"/>
          <c:w val="0.44285817256829557"/>
          <c:h val="0.65306122448979587"/>
        </c:manualLayout>
      </c:layout>
      <c:scatterChart>
        <c:scatterStyle val="lineMarker"/>
        <c:varyColors val="0"/>
        <c:ser>
          <c:idx val="0"/>
          <c:order val="0"/>
          <c:tx>
            <c:strRef>
              <c:f>'continuous and categorical'!$A$11</c:f>
              <c:strCache>
                <c:ptCount val="1"/>
                <c:pt idx="0">
                  <c:v>black</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xVal>
            <c:numRef>
              <c:f>'continuous and categorical'!$E$10:$G$10</c:f>
              <c:numCache>
                <c:formatCode>General</c:formatCode>
                <c:ptCount val="3"/>
                <c:pt idx="0">
                  <c:v>1970</c:v>
                </c:pt>
                <c:pt idx="1">
                  <c:v>1980</c:v>
                </c:pt>
                <c:pt idx="2">
                  <c:v>1990</c:v>
                </c:pt>
              </c:numCache>
            </c:numRef>
          </c:xVal>
          <c:yVal>
            <c:numRef>
              <c:f>'continuous and categorical'!$E$48:$G$48</c:f>
              <c:numCache>
                <c:formatCode>General</c:formatCode>
                <c:ptCount val="3"/>
                <c:pt idx="0">
                  <c:v>7.8209999999999997</c:v>
                </c:pt>
                <c:pt idx="1">
                  <c:v>7.0809999999999995</c:v>
                </c:pt>
                <c:pt idx="2">
                  <c:v>6.3410000000000002</c:v>
                </c:pt>
              </c:numCache>
            </c:numRef>
          </c:yVal>
          <c:smooth val="0"/>
        </c:ser>
        <c:ser>
          <c:idx val="1"/>
          <c:order val="1"/>
          <c:tx>
            <c:strRef>
              <c:f>'continuous and categorical'!$A$12</c:f>
              <c:strCache>
                <c:ptCount val="1"/>
                <c:pt idx="0">
                  <c:v>Mexican</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xVal>
            <c:numRef>
              <c:f>'continuous and categorical'!$E$10:$G$10</c:f>
              <c:numCache>
                <c:formatCode>General</c:formatCode>
                <c:ptCount val="3"/>
                <c:pt idx="0">
                  <c:v>1970</c:v>
                </c:pt>
                <c:pt idx="1">
                  <c:v>1980</c:v>
                </c:pt>
                <c:pt idx="2">
                  <c:v>1990</c:v>
                </c:pt>
              </c:numCache>
            </c:numRef>
          </c:xVal>
          <c:yVal>
            <c:numRef>
              <c:f>'continuous and categorical'!$E$49:$G$49</c:f>
              <c:numCache>
                <c:formatCode>General</c:formatCode>
                <c:ptCount val="3"/>
                <c:pt idx="0">
                  <c:v>3.6510000000000007</c:v>
                </c:pt>
                <c:pt idx="1">
                  <c:v>3.3810000000000002</c:v>
                </c:pt>
                <c:pt idx="2">
                  <c:v>3.1110000000000002</c:v>
                </c:pt>
              </c:numCache>
            </c:numRef>
          </c:yVal>
          <c:smooth val="0"/>
        </c:ser>
        <c:ser>
          <c:idx val="2"/>
          <c:order val="2"/>
          <c:tx>
            <c:strRef>
              <c:f>'continuous and categorical'!$A$13</c:f>
              <c:strCache>
                <c:ptCount val="1"/>
                <c:pt idx="0">
                  <c:v>Other Hisp</c:v>
                </c:pt>
              </c:strCache>
            </c:strRef>
          </c:tx>
          <c:spPr>
            <a:ln w="38100">
              <a:solidFill>
                <a:srgbClr val="008000"/>
              </a:solidFill>
              <a:prstDash val="lgDash"/>
            </a:ln>
          </c:spPr>
          <c:marker>
            <c:symbol val="triangle"/>
            <c:size val="5"/>
            <c:spPr>
              <a:solidFill>
                <a:srgbClr val="008000"/>
              </a:solidFill>
              <a:ln>
                <a:solidFill>
                  <a:srgbClr val="008000"/>
                </a:solidFill>
                <a:prstDash val="solid"/>
              </a:ln>
            </c:spPr>
          </c:marker>
          <c:xVal>
            <c:numRef>
              <c:f>'continuous and categorical'!$E$10:$G$10</c:f>
              <c:numCache>
                <c:formatCode>General</c:formatCode>
                <c:ptCount val="3"/>
                <c:pt idx="0">
                  <c:v>1970</c:v>
                </c:pt>
                <c:pt idx="1">
                  <c:v>1980</c:v>
                </c:pt>
                <c:pt idx="2">
                  <c:v>1990</c:v>
                </c:pt>
              </c:numCache>
            </c:numRef>
          </c:xVal>
          <c:yVal>
            <c:numRef>
              <c:f>'continuous and categorical'!$E$50:$G$50</c:f>
              <c:numCache>
                <c:formatCode>General</c:formatCode>
                <c:ptCount val="3"/>
                <c:pt idx="0">
                  <c:v>2.8249999999999997</c:v>
                </c:pt>
                <c:pt idx="1">
                  <c:v>2.665</c:v>
                </c:pt>
                <c:pt idx="2">
                  <c:v>2.5049999999999999</c:v>
                </c:pt>
              </c:numCache>
            </c:numRef>
          </c:yVal>
          <c:smooth val="0"/>
        </c:ser>
        <c:ser>
          <c:idx val="3"/>
          <c:order val="3"/>
          <c:tx>
            <c:strRef>
              <c:f>'continuous and categorical'!$A$14</c:f>
              <c:strCache>
                <c:ptCount val="1"/>
                <c:pt idx="0">
                  <c:v>Other Non Hisp</c:v>
                </c:pt>
              </c:strCache>
            </c:strRef>
          </c:tx>
          <c:spPr>
            <a:ln w="38100">
              <a:solidFill>
                <a:srgbClr val="FF0000"/>
              </a:solidFill>
              <a:prstDash val="lgDash"/>
            </a:ln>
          </c:spPr>
          <c:marker>
            <c:symbol val="x"/>
            <c:size val="5"/>
            <c:spPr>
              <a:noFill/>
              <a:ln>
                <a:solidFill>
                  <a:srgbClr val="FF0000"/>
                </a:solidFill>
                <a:prstDash val="solid"/>
              </a:ln>
            </c:spPr>
          </c:marker>
          <c:xVal>
            <c:numRef>
              <c:f>'continuous and categorical'!$E$10:$G$10</c:f>
              <c:numCache>
                <c:formatCode>General</c:formatCode>
                <c:ptCount val="3"/>
                <c:pt idx="0">
                  <c:v>1970</c:v>
                </c:pt>
                <c:pt idx="1">
                  <c:v>1980</c:v>
                </c:pt>
                <c:pt idx="2">
                  <c:v>1990</c:v>
                </c:pt>
              </c:numCache>
            </c:numRef>
          </c:xVal>
          <c:yVal>
            <c:numRef>
              <c:f>'continuous and categorical'!$E$51:$G$51</c:f>
              <c:numCache>
                <c:formatCode>General</c:formatCode>
                <c:ptCount val="3"/>
                <c:pt idx="0">
                  <c:v>2.6169999999999995</c:v>
                </c:pt>
                <c:pt idx="1">
                  <c:v>2.2769999999999997</c:v>
                </c:pt>
                <c:pt idx="2">
                  <c:v>1.9369999999999998</c:v>
                </c:pt>
              </c:numCache>
            </c:numRef>
          </c:yVal>
          <c:smooth val="0"/>
        </c:ser>
        <c:ser>
          <c:idx val="4"/>
          <c:order val="4"/>
          <c:tx>
            <c:strRef>
              <c:f>'continuous and categorical'!$A$15</c:f>
              <c:strCache>
                <c:ptCount val="1"/>
                <c:pt idx="0">
                  <c:v>white</c:v>
                </c:pt>
              </c:strCache>
            </c:strRef>
          </c:tx>
          <c:spPr>
            <a:ln w="12700">
              <a:solidFill>
                <a:srgbClr val="800080"/>
              </a:solidFill>
              <a:prstDash val="solid"/>
            </a:ln>
          </c:spPr>
          <c:marker>
            <c:symbol val="star"/>
            <c:size val="5"/>
            <c:spPr>
              <a:noFill/>
              <a:ln>
                <a:solidFill>
                  <a:srgbClr val="800080"/>
                </a:solidFill>
                <a:prstDash val="solid"/>
              </a:ln>
            </c:spPr>
          </c:marker>
          <c:xVal>
            <c:numRef>
              <c:f>'continuous and categorical'!$E$10:$G$10</c:f>
              <c:numCache>
                <c:formatCode>General</c:formatCode>
                <c:ptCount val="3"/>
                <c:pt idx="0">
                  <c:v>1970</c:v>
                </c:pt>
                <c:pt idx="1">
                  <c:v>1980</c:v>
                </c:pt>
                <c:pt idx="2">
                  <c:v>1990</c:v>
                </c:pt>
              </c:numCache>
            </c:numRef>
          </c:xVal>
          <c:yVal>
            <c:numRef>
              <c:f>'continuous and categorical'!$E$52:$G$52</c:f>
              <c:numCache>
                <c:formatCode>General</c:formatCode>
                <c:ptCount val="3"/>
                <c:pt idx="0">
                  <c:v>2.9670000000000001</c:v>
                </c:pt>
                <c:pt idx="1">
                  <c:v>2.637</c:v>
                </c:pt>
                <c:pt idx="2">
                  <c:v>2.3069999999999999</c:v>
                </c:pt>
              </c:numCache>
            </c:numRef>
          </c:yVal>
          <c:smooth val="0"/>
        </c:ser>
        <c:dLbls>
          <c:showLegendKey val="0"/>
          <c:showVal val="0"/>
          <c:showCatName val="0"/>
          <c:showSerName val="0"/>
          <c:showPercent val="0"/>
          <c:showBubbleSize val="0"/>
        </c:dLbls>
        <c:axId val="362981560"/>
        <c:axId val="362981168"/>
      </c:scatterChart>
      <c:valAx>
        <c:axId val="362981560"/>
        <c:scaling>
          <c:orientation val="minMax"/>
          <c:max val="1990"/>
          <c:min val="1970"/>
        </c:scaling>
        <c:delete val="0"/>
        <c:axPos val="b"/>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en-US"/>
          </a:p>
        </c:txPr>
        <c:crossAx val="362981168"/>
        <c:crosses val="autoZero"/>
        <c:crossBetween val="midCat"/>
        <c:majorUnit val="10"/>
      </c:valAx>
      <c:valAx>
        <c:axId val="362981168"/>
        <c:scaling>
          <c:orientation val="minMax"/>
        </c:scaling>
        <c:delete val="0"/>
        <c:axPos val="l"/>
        <c:majorGridlines>
          <c:spPr>
            <a:ln w="3175">
              <a:solidFill>
                <a:srgbClr val="000000"/>
              </a:solidFill>
              <a:prstDash val="solid"/>
            </a:ln>
          </c:spPr>
        </c:majorGridlines>
        <c:title>
          <c:tx>
            <c:rich>
              <a:bodyPr/>
              <a:lstStyle/>
              <a:p>
                <a:pPr>
                  <a:defRPr sz="1000" b="0" i="0" u="none" strike="noStrike" baseline="0">
                    <a:solidFill>
                      <a:srgbClr val="000000"/>
                    </a:solidFill>
                    <a:latin typeface="Arial"/>
                    <a:ea typeface="Arial"/>
                    <a:cs typeface="Arial"/>
                  </a:defRPr>
                </a:pPr>
                <a:r>
                  <a:rPr lang="en-US"/>
                  <a:t>log relative risk for endogamy</a:t>
                </a:r>
              </a:p>
            </c:rich>
          </c:tx>
          <c:layout>
            <c:manualLayout>
              <c:xMode val="edge"/>
              <c:yMode val="edge"/>
              <c:x val="3.8095326672541556E-2"/>
              <c:y val="0.3392857142857143"/>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en-US"/>
          </a:p>
        </c:txPr>
        <c:crossAx val="362981560"/>
        <c:crosses val="autoZero"/>
        <c:crossBetween val="midCat"/>
      </c:valAx>
      <c:spPr>
        <a:noFill/>
        <a:ln w="12700">
          <a:solidFill>
            <a:srgbClr val="808080"/>
          </a:solidFill>
          <a:prstDash val="solid"/>
        </a:ln>
      </c:spPr>
    </c:plotArea>
    <c:legend>
      <c:legendPos val="r"/>
      <c:layout>
        <c:manualLayout>
          <c:xMode val="edge"/>
          <c:yMode val="edge"/>
          <c:x val="0.6452395955161726"/>
          <c:y val="0.42346938775510207"/>
          <c:w val="0.33571506630177245"/>
          <c:h val="0.27040816326530615"/>
        </c:manualLayout>
      </c:layout>
      <c:overlay val="0"/>
      <c:spPr>
        <a:solidFill>
          <a:srgbClr val="FFFFFF"/>
        </a:solidFill>
        <a:ln w="3175">
          <a:solidFill>
            <a:srgbClr val="000000"/>
          </a:solidFill>
          <a:prstDash val="solid"/>
        </a:ln>
      </c:spPr>
      <c:txPr>
        <a:bodyPr/>
        <a:lstStyle/>
        <a:p>
          <a:pPr>
            <a:defRPr sz="920" b="0"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chart" Target="../charts/chart2.xml"/></Relationships>
</file>

<file path=xl/drawings/_rels/drawing4.xml.rels><?xml version="1.0" encoding="UTF-8" standalone="yes"?>
<Relationships xmlns="http://schemas.openxmlformats.org/package/2006/relationships"><Relationship Id="rId2" Type="http://schemas.openxmlformats.org/officeDocument/2006/relationships/chart" Target="../charts/chart5.xml"/><Relationship Id="rId1" Type="http://schemas.openxmlformats.org/officeDocument/2006/relationships/chart" Target="../charts/chart4.xml"/></Relationships>
</file>

<file path=xl/drawings/_rels/drawing8.xml.rels><?xml version="1.0" encoding="UTF-8" standalone="yes"?>
<Relationships xmlns="http://schemas.openxmlformats.org/package/2006/relationships"><Relationship Id="rId1" Type="http://schemas.openxmlformats.org/officeDocument/2006/relationships/chart" Target="../charts/chart6.xml"/></Relationships>
</file>

<file path=xl/drawings/_rels/drawing15.xml.rels><?xml version="1.0" encoding="UTF-8" standalone="yes"?>
<Relationships xmlns="http://schemas.openxmlformats.org/package/2006/relationships"><Relationship Id="rId2" Type="http://schemas.openxmlformats.org/officeDocument/2006/relationships/chart" Target="../charts/chart8.xml"/><Relationship Id="rId1" Type="http://schemas.openxmlformats.org/officeDocument/2006/relationships/chart" Target="../charts/chart7.xml"/></Relationships>
</file>

<file path=xl/drawings/_rels/drawing16.xml.rels><?xml version="1.0" encoding="UTF-8" standalone="yes"?>
<Relationships xmlns="http://schemas.openxmlformats.org/package/2006/relationships"><Relationship Id="rId2" Type="http://schemas.openxmlformats.org/officeDocument/2006/relationships/chart" Target="../charts/chart10.xml"/><Relationship Id="rId1" Type="http://schemas.openxmlformats.org/officeDocument/2006/relationships/chart" Target="../charts/chart9.xml"/></Relationships>
</file>

<file path=xl/drawings/_rels/drawing17.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18.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drawing1.xml><?xml version="1.0" encoding="utf-8"?>
<xdr:wsDr xmlns:xdr="http://schemas.openxmlformats.org/drawingml/2006/spreadsheetDrawing" xmlns:a="http://schemas.openxmlformats.org/drawingml/2006/main">
  <xdr:twoCellAnchor>
    <xdr:from>
      <xdr:col>5</xdr:col>
      <xdr:colOff>257175</xdr:colOff>
      <xdr:row>105</xdr:row>
      <xdr:rowOff>123825</xdr:rowOff>
    </xdr:from>
    <xdr:to>
      <xdr:col>10</xdr:col>
      <xdr:colOff>542925</xdr:colOff>
      <xdr:row>117</xdr:row>
      <xdr:rowOff>133350</xdr:rowOff>
    </xdr:to>
    <xdr:sp macro="" textlink="">
      <xdr:nvSpPr>
        <xdr:cNvPr id="4097" name="Text Box 1"/>
        <xdr:cNvSpPr txBox="1">
          <a:spLocks noChangeArrowheads="1"/>
        </xdr:cNvSpPr>
      </xdr:nvSpPr>
      <xdr:spPr bwMode="auto">
        <a:xfrm>
          <a:off x="4086225" y="16125825"/>
          <a:ext cx="3952875" cy="18383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576" tIns="27432" rIns="0" bIns="0" anchor="t" upright="1"/>
        <a:lstStyle/>
        <a:p>
          <a:pPr algn="l" rtl="0">
            <a:defRPr sz="1000"/>
          </a:pPr>
          <a:r>
            <a:rPr lang="en-US" sz="900" b="0" i="0" u="none" strike="noStrike" baseline="0">
              <a:solidFill>
                <a:srgbClr val="000000"/>
              </a:solidFill>
              <a:latin typeface="Geneva"/>
            </a:rPr>
            <a:t>"the log odds of living on a lilly pad are 0.245 higher if you are Blue" OR "The log odds of Being Blue are 0.245 higher if you are living on a lilly pad".  We usually end up talking about Odds Ratios, because they come in as a multiple.  So one could also say that being Blue raises the odds of living on a lillypad by a factor of 1.277.  </a:t>
          </a:r>
        </a:p>
        <a:p>
          <a:pPr algn="l" rtl="0">
            <a:defRPr sz="1000"/>
          </a:pPr>
          <a:endParaRPr lang="en-US" sz="900" b="0" i="0" u="none" strike="noStrike" baseline="0">
            <a:solidFill>
              <a:srgbClr val="000000"/>
            </a:solidFill>
            <a:latin typeface="Geneva"/>
          </a:endParaRPr>
        </a:p>
        <a:p>
          <a:pPr algn="l" rtl="0">
            <a:defRPr sz="1000"/>
          </a:pPr>
          <a:r>
            <a:rPr lang="en-US" sz="900" b="0" i="0" u="none" strike="noStrike" baseline="0">
              <a:solidFill>
                <a:srgbClr val="000000"/>
              </a:solidFill>
              <a:latin typeface="Geneva"/>
            </a:rPr>
            <a:t>If we didn't know that the interactions of these loglinear models were necessarily odds ratios and log odds ratios, we could say simply that Being Blue and living on a lillypad raises the count of events by 27.7%, controling for other factors.</a:t>
          </a:r>
        </a:p>
      </xdr:txBody>
    </xdr:sp>
    <xdr:clientData/>
  </xdr:twoCellAnchor>
  <xdr:twoCellAnchor>
    <xdr:from>
      <xdr:col>4</xdr:col>
      <xdr:colOff>285750</xdr:colOff>
      <xdr:row>1</xdr:row>
      <xdr:rowOff>85725</xdr:rowOff>
    </xdr:from>
    <xdr:to>
      <xdr:col>9</xdr:col>
      <xdr:colOff>409575</xdr:colOff>
      <xdr:row>16</xdr:row>
      <xdr:rowOff>104775</xdr:rowOff>
    </xdr:to>
    <xdr:graphicFrame macro="">
      <xdr:nvGraphicFramePr>
        <xdr:cNvPr id="4098"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19050</xdr:colOff>
      <xdr:row>45</xdr:row>
      <xdr:rowOff>133350</xdr:rowOff>
    </xdr:from>
    <xdr:to>
      <xdr:col>10</xdr:col>
      <xdr:colOff>666750</xdr:colOff>
      <xdr:row>53</xdr:row>
      <xdr:rowOff>0</xdr:rowOff>
    </xdr:to>
    <xdr:sp macro="" textlink="">
      <xdr:nvSpPr>
        <xdr:cNvPr id="4099" name="Text Box 3"/>
        <xdr:cNvSpPr txBox="1">
          <a:spLocks noChangeArrowheads="1"/>
        </xdr:cNvSpPr>
      </xdr:nvSpPr>
      <xdr:spPr bwMode="auto">
        <a:xfrm>
          <a:off x="4581525" y="6991350"/>
          <a:ext cx="3581400" cy="108585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Geneva"/>
            </a:rPr>
            <a:t>Some nice features of the odds ratio:</a:t>
          </a:r>
        </a:p>
        <a:p>
          <a:pPr algn="l" rtl="0">
            <a:defRPr sz="1000"/>
          </a:pPr>
          <a:r>
            <a:rPr lang="en-US" sz="900" b="0" i="0" u="none" strike="noStrike" baseline="0">
              <a:solidFill>
                <a:srgbClr val="000000"/>
              </a:solidFill>
              <a:latin typeface="Geneva"/>
            </a:rPr>
            <a:t>1) The odds ratio's natural log is Normally distributed.</a:t>
          </a:r>
        </a:p>
        <a:p>
          <a:pPr algn="l" rtl="0">
            <a:defRPr sz="1000"/>
          </a:pPr>
          <a:r>
            <a:rPr lang="en-US" sz="900" b="0" i="0" u="none" strike="noStrike" baseline="0">
              <a:solidFill>
                <a:srgbClr val="000000"/>
              </a:solidFill>
              <a:latin typeface="Geneva"/>
            </a:rPr>
            <a:t>2) The variance and Standard Error of Ln(OR) are easy to calculate (see left).</a:t>
          </a:r>
        </a:p>
        <a:p>
          <a:pPr algn="l" rtl="0">
            <a:defRPr sz="1000"/>
          </a:pPr>
          <a:r>
            <a:rPr lang="en-US" sz="900" b="0" i="0" u="none" strike="noStrike" baseline="0">
              <a:solidFill>
                <a:srgbClr val="000000"/>
              </a:solidFill>
              <a:latin typeface="Geneva"/>
            </a:rPr>
            <a:t>3) The odds ratio is "margin-free," meaning changes to the marginal distributions don't affect the odds ratio (see below)</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723900</xdr:colOff>
      <xdr:row>13</xdr:row>
      <xdr:rowOff>85725</xdr:rowOff>
    </xdr:from>
    <xdr:to>
      <xdr:col>11</xdr:col>
      <xdr:colOff>685800</xdr:colOff>
      <xdr:row>32</xdr:row>
      <xdr:rowOff>123825</xdr:rowOff>
    </xdr:to>
    <xdr:sp macro="" textlink="">
      <xdr:nvSpPr>
        <xdr:cNvPr id="2051" name="Text Box 3"/>
        <xdr:cNvSpPr txBox="1">
          <a:spLocks noChangeArrowheads="1"/>
        </xdr:cNvSpPr>
      </xdr:nvSpPr>
      <xdr:spPr bwMode="auto">
        <a:xfrm>
          <a:off x="5934075" y="2066925"/>
          <a:ext cx="3933825" cy="29337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Geneva"/>
            </a:rPr>
            <a:t>goodness of fit tests:</a:t>
          </a:r>
        </a:p>
        <a:p>
          <a:pPr algn="l" rtl="0">
            <a:defRPr sz="1000"/>
          </a:pPr>
          <a:r>
            <a:rPr lang="en-US" sz="900" b="0" i="0" u="none" strike="noStrike" baseline="0">
              <a:solidFill>
                <a:srgbClr val="000000"/>
              </a:solidFill>
              <a:latin typeface="Geneva"/>
            </a:rPr>
            <a:t>LR test (what </a:t>
          </a:r>
          <a:r>
            <a:rPr lang="en-US" sz="900" b="1" i="0" u="none" strike="noStrike" baseline="0">
              <a:solidFill>
                <a:srgbClr val="000000"/>
              </a:solidFill>
              <a:latin typeface="Geneva"/>
            </a:rPr>
            <a:t>poisgof</a:t>
          </a:r>
          <a:r>
            <a:rPr lang="en-US" sz="900" b="0" i="0" u="none" strike="noStrike" baseline="0">
              <a:solidFill>
                <a:srgbClr val="000000"/>
              </a:solidFill>
              <a:latin typeface="Geneva"/>
            </a:rPr>
            <a:t> offers)</a:t>
          </a:r>
        </a:p>
        <a:p>
          <a:pPr algn="l" rtl="0">
            <a:defRPr sz="1000"/>
          </a:pPr>
          <a:r>
            <a:rPr lang="en-US" sz="900" b="0" i="0" u="none" strike="noStrike" baseline="0">
              <a:solidFill>
                <a:srgbClr val="000000"/>
              </a:solidFill>
              <a:latin typeface="Geneva"/>
            </a:rPr>
            <a:t>each cell contributes </a:t>
          </a:r>
        </a:p>
        <a:p>
          <a:pPr algn="l" rtl="0">
            <a:defRPr sz="1000"/>
          </a:pPr>
          <a:r>
            <a:rPr lang="en-US" sz="900" b="0" i="0" u="none" strike="noStrike" baseline="0">
              <a:solidFill>
                <a:srgbClr val="000000"/>
              </a:solidFill>
              <a:latin typeface="Geneva"/>
            </a:rPr>
            <a:t>2*n*ln(n/u), </a:t>
          </a:r>
        </a:p>
        <a:p>
          <a:pPr algn="l" rtl="0">
            <a:defRPr sz="1000"/>
          </a:pPr>
          <a:r>
            <a:rPr lang="en-US" sz="900" b="0" i="0" u="none" strike="noStrike" baseline="0">
              <a:solidFill>
                <a:srgbClr val="000000"/>
              </a:solidFill>
              <a:latin typeface="Geneva"/>
            </a:rPr>
            <a:t>where n is the actual count of events for the cell, and u is the predicted number of counts given the model</a:t>
          </a:r>
        </a:p>
        <a:p>
          <a:pPr algn="l" rtl="0">
            <a:defRPr sz="1000"/>
          </a:pPr>
          <a:endParaRPr lang="en-US" sz="900" b="0" i="0" u="none" strike="noStrike" baseline="0">
            <a:solidFill>
              <a:srgbClr val="000000"/>
            </a:solidFill>
            <a:latin typeface="Geneva"/>
          </a:endParaRPr>
        </a:p>
        <a:p>
          <a:pPr algn="l" rtl="0">
            <a:defRPr sz="1000"/>
          </a:pPr>
          <a:r>
            <a:rPr lang="en-US" sz="900" b="0" i="0" u="none" strike="noStrike" baseline="0">
              <a:solidFill>
                <a:srgbClr val="000000"/>
              </a:solidFill>
              <a:latin typeface="Geneva"/>
            </a:rPr>
            <a:t>then the statistic is the sum of these contributions across all cells.  This statistic is compared to the difference in degrees of freedom between the tested model and the saturated model.  In this case the saturated model takes 4 terms, and the indepdendence model takes 3 terms, so the difference is 1 df.</a:t>
          </a:r>
        </a:p>
        <a:p>
          <a:pPr algn="l" rtl="0">
            <a:defRPr sz="1000"/>
          </a:pPr>
          <a:endParaRPr lang="en-US" sz="900" b="0" i="0" u="none" strike="noStrike" baseline="0">
            <a:solidFill>
              <a:srgbClr val="000000"/>
            </a:solidFill>
            <a:latin typeface="Geneva"/>
          </a:endParaRPr>
        </a:p>
        <a:p>
          <a:pPr algn="l" rtl="0">
            <a:defRPr sz="1000"/>
          </a:pPr>
          <a:r>
            <a:rPr lang="en-US" sz="900" b="0" i="0" u="none" strike="noStrike" baseline="0">
              <a:solidFill>
                <a:srgbClr val="000000"/>
              </a:solidFill>
              <a:latin typeface="Geneva"/>
            </a:rPr>
            <a:t>For the pearson chisquare statistic (what </a:t>
          </a:r>
          <a:r>
            <a:rPr lang="en-US" sz="900" b="1" i="0" u="none" strike="noStrike" baseline="0">
              <a:solidFill>
                <a:srgbClr val="000000"/>
              </a:solidFill>
              <a:latin typeface="Geneva"/>
            </a:rPr>
            <a:t>poisgof, pearson</a:t>
          </a:r>
          <a:r>
            <a:rPr lang="en-US" sz="900" b="0" i="0" u="none" strike="noStrike" baseline="0">
              <a:solidFill>
                <a:srgbClr val="000000"/>
              </a:solidFill>
              <a:latin typeface="Geneva"/>
            </a:rPr>
            <a:t> offers), each cell's contribution is </a:t>
          </a:r>
        </a:p>
        <a:p>
          <a:pPr algn="l" rtl="0">
            <a:defRPr sz="1000"/>
          </a:pPr>
          <a:r>
            <a:rPr lang="en-US" sz="900" b="0" i="0" u="none" strike="noStrike" baseline="0">
              <a:solidFill>
                <a:srgbClr val="000000"/>
              </a:solidFill>
              <a:latin typeface="Geneva"/>
            </a:rPr>
            <a:t>((n-u)^2)/u</a:t>
          </a:r>
        </a:p>
        <a:p>
          <a:pPr algn="l" rtl="0">
            <a:defRPr sz="1000"/>
          </a:pPr>
          <a:r>
            <a:rPr lang="en-US" sz="900" b="0" i="0" u="none" strike="noStrike" baseline="0">
              <a:solidFill>
                <a:srgbClr val="000000"/>
              </a:solidFill>
              <a:latin typeface="Geneva"/>
            </a:rPr>
            <a:t>See Agresti (1996: 28-29)</a:t>
          </a:r>
        </a:p>
        <a:p>
          <a:pPr algn="l" rtl="0">
            <a:defRPr sz="1000"/>
          </a:pPr>
          <a:endParaRPr lang="en-US" sz="900" b="0" i="0" u="none" strike="noStrike" baseline="0">
            <a:solidFill>
              <a:srgbClr val="000000"/>
            </a:solidFill>
            <a:latin typeface="Geneva"/>
          </a:endParaRPr>
        </a:p>
        <a:p>
          <a:pPr algn="l" rtl="0">
            <a:defRPr sz="1000"/>
          </a:pPr>
          <a:endParaRPr lang="en-US" sz="900" b="0" i="0" u="none" strike="noStrike" baseline="0">
            <a:solidFill>
              <a:srgbClr val="000000"/>
            </a:solidFill>
            <a:latin typeface="Geneva"/>
          </a:endParaRPr>
        </a:p>
      </xdr:txBody>
    </xdr:sp>
    <xdr:clientData/>
  </xdr:twoCellAnchor>
  <xdr:twoCellAnchor>
    <xdr:from>
      <xdr:col>2</xdr:col>
      <xdr:colOff>247650</xdr:colOff>
      <xdr:row>43</xdr:row>
      <xdr:rowOff>47625</xdr:rowOff>
    </xdr:from>
    <xdr:to>
      <xdr:col>8</xdr:col>
      <xdr:colOff>942975</xdr:colOff>
      <xdr:row>76</xdr:row>
      <xdr:rowOff>9525</xdr:rowOff>
    </xdr:to>
    <xdr:sp macro="" textlink="">
      <xdr:nvSpPr>
        <xdr:cNvPr id="2052" name="Text Box 4"/>
        <xdr:cNvSpPr txBox="1">
          <a:spLocks noChangeArrowheads="1"/>
        </xdr:cNvSpPr>
      </xdr:nvSpPr>
      <xdr:spPr bwMode="auto">
        <a:xfrm>
          <a:off x="1714500" y="6600825"/>
          <a:ext cx="5905500" cy="49911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576" tIns="27432" rIns="0" bIns="0" anchor="t" upright="1"/>
        <a:lstStyle/>
        <a:p>
          <a:pPr algn="l" rtl="0">
            <a:defRPr sz="1000"/>
          </a:pPr>
          <a:r>
            <a:rPr lang="en-US" sz="900" b="0" i="0" u="none" strike="noStrike" baseline="0">
              <a:solidFill>
                <a:srgbClr val="000000"/>
              </a:solidFill>
              <a:latin typeface="Geneva"/>
            </a:rPr>
            <a:t>The likelihood ratio tests give you a chisquare statistic, as long as the two models are nested within each other, that is as long as the terms in the smaller model are all present in the larger model.</a:t>
          </a:r>
        </a:p>
        <a:p>
          <a:pPr algn="l" rtl="0">
            <a:defRPr sz="1000"/>
          </a:pPr>
          <a:r>
            <a:rPr lang="en-US" sz="900" b="0" i="0" u="none" strike="noStrike" baseline="0">
              <a:solidFill>
                <a:srgbClr val="000000"/>
              </a:solidFill>
              <a:latin typeface="Geneva"/>
            </a:rPr>
            <a:t>Expected value of chisquare with n degrees of freedom is n.</a:t>
          </a:r>
        </a:p>
        <a:p>
          <a:pPr algn="l" rtl="0">
            <a:defRPr sz="1000"/>
          </a:pPr>
          <a:r>
            <a:rPr lang="en-US" sz="900" b="0" i="0" u="none" strike="noStrike" baseline="0">
              <a:solidFill>
                <a:srgbClr val="000000"/>
              </a:solidFill>
              <a:latin typeface="Geneva"/>
            </a:rPr>
            <a:t>When the chisquare test is in the neighborhood of n or less, then the two models in question fit about the same and you can't distinguish between them. That is the case for the independence and the saturated models here. When the chisquare test is substantially larger than n, the model with more terms fits significantly better than the model with fewer terms. Both the independence and the saturated models fit significantly better than the constant only model.</a:t>
          </a:r>
        </a:p>
        <a:p>
          <a:pPr algn="l" rtl="0">
            <a:defRPr sz="1000"/>
          </a:pPr>
          <a:r>
            <a:rPr lang="en-US" sz="900" b="0" i="0" u="none" strike="noStrike" baseline="0">
              <a:solidFill>
                <a:srgbClr val="000000"/>
              </a:solidFill>
              <a:latin typeface="Geneva"/>
            </a:rPr>
            <a:t>The difference in degrees of freedom between the two models used in the test is the df of the test.  The difference in -2LL of the two models is the chisquare statistic.  The Red is what Stata refers to as</a:t>
          </a:r>
          <a:r>
            <a:rPr lang="en-US" sz="900" b="1" i="0" u="none" strike="noStrike" baseline="0">
              <a:solidFill>
                <a:srgbClr val="000000"/>
              </a:solidFill>
              <a:latin typeface="Geneva"/>
            </a:rPr>
            <a:t> poisgof</a:t>
          </a:r>
          <a:r>
            <a:rPr lang="en-US" sz="900" b="0" i="0" u="none" strike="noStrike" baseline="0">
              <a:solidFill>
                <a:srgbClr val="000000"/>
              </a:solidFill>
              <a:latin typeface="Geneva"/>
            </a:rPr>
            <a:t>, or Poisson goodness of fit. The Yellow is what Stata refers to as the "LR chisquare" at the top of each model, in other words that model compared to the constant only model. The constant only model is not an interesting model, but it is always there to be compared to. You certainly hope any substantive model fits better than the constant-only model. Better fitting than constant-only is usually an easy test to satisfy.</a:t>
          </a:r>
        </a:p>
        <a:p>
          <a:pPr algn="l" rtl="0">
            <a:defRPr sz="1000"/>
          </a:pPr>
          <a:endParaRPr lang="en-US" sz="900" b="0" i="0" u="none" strike="noStrike" baseline="0">
            <a:solidFill>
              <a:srgbClr val="000000"/>
            </a:solidFill>
            <a:latin typeface="Geneva"/>
          </a:endParaRPr>
        </a:p>
        <a:p>
          <a:pPr algn="l" rtl="0">
            <a:defRPr sz="1000"/>
          </a:pPr>
          <a:r>
            <a:rPr lang="en-US" sz="900" b="0" i="0" u="none" strike="noStrike" baseline="0">
              <a:solidFill>
                <a:srgbClr val="000000"/>
              </a:solidFill>
              <a:latin typeface="Geneva"/>
            </a:rPr>
            <a:t>Note: the goodness of fit chisquare test for the independence model is the same (0.2445 on 1 df) whether we calculated it by hand from the predicted and actual cell values or whether stata used the -2LL of each model.</a:t>
          </a:r>
        </a:p>
        <a:p>
          <a:pPr algn="l" rtl="0">
            <a:defRPr sz="1000"/>
          </a:pPr>
          <a:endParaRPr lang="en-US" sz="900" b="0" i="0" u="none" strike="noStrike" baseline="0">
            <a:solidFill>
              <a:srgbClr val="000000"/>
            </a:solidFill>
            <a:latin typeface="Geneva"/>
          </a:endParaRPr>
        </a:p>
        <a:p>
          <a:pPr algn="l" rtl="0">
            <a:defRPr sz="1000"/>
          </a:pPr>
          <a:r>
            <a:rPr lang="en-US" sz="900" b="0" i="0" u="none" strike="noStrike" baseline="0">
              <a:solidFill>
                <a:srgbClr val="000000"/>
              </a:solidFill>
              <a:latin typeface="Geneva"/>
            </a:rPr>
            <a:t>Note: In any group of  nested models, when you add more terms the likelihood and log likelihood can be the same (if the added terms don't help at all) or greater, but never less.</a:t>
          </a:r>
        </a:p>
        <a:p>
          <a:pPr algn="l" rtl="0">
            <a:defRPr sz="1000"/>
          </a:pPr>
          <a:endParaRPr lang="en-US" sz="900" b="0" i="0" u="none" strike="noStrike" baseline="0">
            <a:solidFill>
              <a:srgbClr val="000000"/>
            </a:solidFill>
            <a:latin typeface="Geneva"/>
          </a:endParaRPr>
        </a:p>
        <a:p>
          <a:pPr algn="l" rtl="0">
            <a:defRPr sz="1000"/>
          </a:pPr>
          <a:r>
            <a:rPr lang="en-US" sz="900" b="0" i="0" u="none" strike="noStrike" baseline="0">
              <a:solidFill>
                <a:srgbClr val="000000"/>
              </a:solidFill>
              <a:latin typeface="Geneva"/>
            </a:rPr>
            <a:t>Note: the goodness if fit chisquare compares models to the saturated model; the likelihood ratio chisquare that STATA lists at the beginning of each model is a comparison of that model to the constant-only model. </a:t>
          </a:r>
        </a:p>
        <a:p>
          <a:pPr algn="l" rtl="0">
            <a:defRPr sz="1000"/>
          </a:pPr>
          <a:endParaRPr lang="en-US" sz="900" b="0" i="0" u="none" strike="noStrike" baseline="0">
            <a:solidFill>
              <a:srgbClr val="000000"/>
            </a:solidFill>
            <a:latin typeface="Geneva"/>
          </a:endParaRPr>
        </a:p>
        <a:p>
          <a:pPr algn="l" rtl="0">
            <a:defRPr sz="1000"/>
          </a:pPr>
          <a:r>
            <a:rPr lang="en-US" sz="900" b="0" i="0" u="none" strike="noStrike" baseline="0">
              <a:solidFill>
                <a:srgbClr val="000000"/>
              </a:solidFill>
              <a:latin typeface="Geneva"/>
            </a:rPr>
            <a:t>Note: the likelihood ratio test between the independence model and the saturated model is that chisquare test for independence which one commonly sees at the bottom of tables, and which STATA produces with </a:t>
          </a:r>
          <a:r>
            <a:rPr lang="en-US" sz="900" b="1" i="0" u="none" strike="noStrike" baseline="0">
              <a:solidFill>
                <a:srgbClr val="000000"/>
              </a:solidFill>
              <a:latin typeface="Geneva"/>
            </a:rPr>
            <a:t>tabulate, lrchi2.</a:t>
          </a:r>
        </a:p>
      </xdr:txBody>
    </xdr:sp>
    <xdr:clientData/>
  </xdr:twoCellAnchor>
  <xdr:oneCellAnchor>
    <xdr:from>
      <xdr:col>9</xdr:col>
      <xdr:colOff>66040</xdr:colOff>
      <xdr:row>43</xdr:row>
      <xdr:rowOff>50800</xdr:rowOff>
    </xdr:from>
    <xdr:ext cx="5789637" cy="20192451"/>
    <xdr:sp macro="" textlink="">
      <xdr:nvSpPr>
        <xdr:cNvPr id="2" name="TextBox 1"/>
        <xdr:cNvSpPr txBox="1"/>
      </xdr:nvSpPr>
      <xdr:spPr>
        <a:xfrm>
          <a:off x="7773963" y="6667012"/>
          <a:ext cx="5789637" cy="20192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lang="en-US" sz="800">
              <a:latin typeface="Courier New" panose="02070309020205020404" pitchFamily="49" charset="0"/>
              <a:cs typeface="Courier New" panose="02070309020205020404" pitchFamily="49" charset="0"/>
            </a:rPr>
            <a:t>*Start with the Frogs</a:t>
          </a:r>
          <a:r>
            <a:rPr lang="en-US" sz="800" baseline="0">
              <a:latin typeface="Courier New" panose="02070309020205020404" pitchFamily="49" charset="0"/>
              <a:cs typeface="Courier New" panose="02070309020205020404" pitchFamily="49" charset="0"/>
            </a:rPr>
            <a:t> dataset, and then start with the constant only model, which is this:</a:t>
          </a:r>
          <a:endParaRPr lang="en-US" sz="800">
            <a:latin typeface="Courier New" panose="02070309020205020404" pitchFamily="49" charset="0"/>
            <a:cs typeface="Courier New" panose="02070309020205020404" pitchFamily="49" charset="0"/>
          </a:endParaRP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poisson count</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Iteration 0:   log likelihood = -14.328367  </a:t>
          </a:r>
        </a:p>
        <a:p>
          <a:r>
            <a:rPr lang="en-US" sz="800">
              <a:latin typeface="Courier New" panose="02070309020205020404" pitchFamily="49" charset="0"/>
              <a:cs typeface="Courier New" panose="02070309020205020404" pitchFamily="49" charset="0"/>
            </a:rPr>
            <a:t>Iteration 1:   log likelihood = -14.328367  </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Poisson regression                                Number of obs   =          4</a:t>
          </a:r>
        </a:p>
        <a:p>
          <a:r>
            <a:rPr lang="en-US" sz="800">
              <a:latin typeface="Courier New" panose="02070309020205020404" pitchFamily="49" charset="0"/>
              <a:cs typeface="Courier New" panose="02070309020205020404" pitchFamily="49" charset="0"/>
            </a:rPr>
            <a:t>                                                  LR chi2(0)      =      -0.00</a:t>
          </a:r>
        </a:p>
        <a:p>
          <a:r>
            <a:rPr lang="en-US" sz="800">
              <a:latin typeface="Courier New" panose="02070309020205020404" pitchFamily="49" charset="0"/>
              <a:cs typeface="Courier New" panose="02070309020205020404" pitchFamily="49" charset="0"/>
            </a:rPr>
            <a:t>                                                  Prob &gt; chi2     =          .</a:t>
          </a:r>
        </a:p>
        <a:p>
          <a:r>
            <a:rPr lang="en-US" sz="800">
              <a:latin typeface="Courier New" panose="02070309020205020404" pitchFamily="49" charset="0"/>
              <a:cs typeface="Courier New" panose="02070309020205020404" pitchFamily="49" charset="0"/>
            </a:rPr>
            <a:t>Log likelihood = -14.328367                       Pseudo R2       =    -0.0000</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a:t>
          </a:r>
        </a:p>
        <a:p>
          <a:r>
            <a:rPr lang="en-US" sz="800">
              <a:latin typeface="Courier New" panose="02070309020205020404" pitchFamily="49" charset="0"/>
              <a:cs typeface="Courier New" panose="02070309020205020404" pitchFamily="49" charset="0"/>
            </a:rPr>
            <a:t>       count |      Coef.   Std. Err.      z    P&gt;|z|     [95% Conf. Interval]</a:t>
          </a:r>
        </a:p>
        <a:p>
          <a:r>
            <a:rPr lang="en-US" sz="800">
              <a:latin typeface="Courier New" panose="02070309020205020404" pitchFamily="49" charset="0"/>
              <a:cs typeface="Courier New" panose="02070309020205020404" pitchFamily="49" charset="0"/>
            </a:rPr>
            <a:t>-------------+----------------------------------------------------------------</a:t>
          </a:r>
        </a:p>
        <a:p>
          <a:r>
            <a:rPr lang="en-US" sz="800">
              <a:latin typeface="Courier New" panose="02070309020205020404" pitchFamily="49" charset="0"/>
              <a:cs typeface="Courier New" panose="02070309020205020404" pitchFamily="49" charset="0"/>
            </a:rPr>
            <a:t>       _cons |   2.931194   .1154701    25.38   0.000     2.704877    3.157511</a:t>
          </a:r>
        </a:p>
        <a:p>
          <a:r>
            <a:rPr lang="en-US" sz="800">
              <a:latin typeface="Courier New" panose="02070309020205020404" pitchFamily="49" charset="0"/>
              <a:cs typeface="Courier New" panose="02070309020205020404" pitchFamily="49" charset="0"/>
            </a:rPr>
            <a:t>------------------------------------------------------------------------------</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predict constant_only</a:t>
          </a:r>
        </a:p>
        <a:p>
          <a:r>
            <a:rPr lang="en-US" sz="800">
              <a:latin typeface="Courier New" panose="02070309020205020404" pitchFamily="49" charset="0"/>
              <a:cs typeface="Courier New" panose="02070309020205020404" pitchFamily="49" charset="0"/>
            </a:rPr>
            <a:t>(option n assumed; predicted number of events)</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table live_num color_num, contents(sum count sum constant_only) row col</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a:t>
          </a:r>
        </a:p>
        <a:p>
          <a:r>
            <a:rPr lang="en-US" sz="800">
              <a:latin typeface="Courier New" panose="02070309020205020404" pitchFamily="49" charset="0"/>
              <a:cs typeface="Courier New" panose="02070309020205020404" pitchFamily="49" charset="0"/>
            </a:rPr>
            <a:t>          |      color_num     </a:t>
          </a:r>
        </a:p>
        <a:p>
          <a:r>
            <a:rPr lang="en-US" sz="800">
              <a:latin typeface="Courier New" panose="02070309020205020404" pitchFamily="49" charset="0"/>
              <a:cs typeface="Courier New" panose="02070309020205020404" pitchFamily="49" charset="0"/>
            </a:rPr>
            <a:t> live_num |  Blue  Green  Total</a:t>
          </a:r>
        </a:p>
        <a:p>
          <a:r>
            <a:rPr lang="en-US" sz="800">
              <a:latin typeface="Courier New" panose="02070309020205020404" pitchFamily="49" charset="0"/>
              <a:cs typeface="Courier New" panose="02070309020205020404" pitchFamily="49" charset="0"/>
            </a:rPr>
            <a:t>----------+--------------------</a:t>
          </a:r>
        </a:p>
        <a:p>
          <a:r>
            <a:rPr lang="en-US" sz="800">
              <a:latin typeface="Courier New" panose="02070309020205020404" pitchFamily="49" charset="0"/>
              <a:cs typeface="Courier New" panose="02070309020205020404" pitchFamily="49" charset="0"/>
            </a:rPr>
            <a:t>Lilly pad |    23     10     33</a:t>
          </a:r>
        </a:p>
        <a:p>
          <a:r>
            <a:rPr lang="en-US" sz="800">
              <a:latin typeface="Courier New" panose="02070309020205020404" pitchFamily="49" charset="0"/>
              <a:cs typeface="Courier New" panose="02070309020205020404" pitchFamily="49" charset="0"/>
            </a:rPr>
            <a:t>          | 18.75  18.75   37.5</a:t>
          </a:r>
        </a:p>
        <a:p>
          <a:r>
            <a:rPr lang="en-US" sz="800">
              <a:latin typeface="Courier New" panose="02070309020205020404" pitchFamily="49" charset="0"/>
              <a:cs typeface="Courier New" panose="02070309020205020404" pitchFamily="49" charset="0"/>
            </a:rPr>
            <a:t>          | </a:t>
          </a:r>
        </a:p>
        <a:p>
          <a:r>
            <a:rPr lang="en-US" sz="800">
              <a:latin typeface="Courier New" panose="02070309020205020404" pitchFamily="49" charset="0"/>
              <a:cs typeface="Courier New" panose="02070309020205020404" pitchFamily="49" charset="0"/>
            </a:rPr>
            <a:t>    Water |    27     15     42</a:t>
          </a:r>
        </a:p>
        <a:p>
          <a:r>
            <a:rPr lang="en-US" sz="800">
              <a:latin typeface="Courier New" panose="02070309020205020404" pitchFamily="49" charset="0"/>
              <a:cs typeface="Courier New" panose="02070309020205020404" pitchFamily="49" charset="0"/>
            </a:rPr>
            <a:t>          | 18.75  18.75   37.5</a:t>
          </a:r>
        </a:p>
        <a:p>
          <a:r>
            <a:rPr lang="en-US" sz="800">
              <a:latin typeface="Courier New" panose="02070309020205020404" pitchFamily="49" charset="0"/>
              <a:cs typeface="Courier New" panose="02070309020205020404" pitchFamily="49" charset="0"/>
            </a:rPr>
            <a:t>          | </a:t>
          </a:r>
        </a:p>
        <a:p>
          <a:r>
            <a:rPr lang="en-US" sz="800">
              <a:latin typeface="Courier New" panose="02070309020205020404" pitchFamily="49" charset="0"/>
              <a:cs typeface="Courier New" panose="02070309020205020404" pitchFamily="49" charset="0"/>
            </a:rPr>
            <a:t>    Total |    50     25     75</a:t>
          </a:r>
        </a:p>
        <a:p>
          <a:r>
            <a:rPr lang="en-US" sz="800">
              <a:latin typeface="Courier New" panose="02070309020205020404" pitchFamily="49" charset="0"/>
              <a:cs typeface="Courier New" panose="02070309020205020404" pitchFamily="49" charset="0"/>
            </a:rPr>
            <a:t>          |  37.5   37.5     75</a:t>
          </a:r>
        </a:p>
        <a:p>
          <a:r>
            <a:rPr lang="en-US" sz="800">
              <a:latin typeface="Courier New" panose="02070309020205020404" pitchFamily="49" charset="0"/>
              <a:cs typeface="Courier New" panose="02070309020205020404" pitchFamily="49" charset="0"/>
            </a:rPr>
            <a:t>-------------------------------</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The constant only model predicts the same count in every cell. It has 3</a:t>
          </a:r>
          <a:r>
            <a:rPr lang="en-US" sz="800" baseline="0">
              <a:latin typeface="Courier New" panose="02070309020205020404" pitchFamily="49" charset="0"/>
              <a:cs typeface="Courier New" panose="02070309020205020404" pitchFamily="49" charset="0"/>
            </a:rPr>
            <a:t> df difference from the saturated model, i.e. the actual data.</a:t>
          </a:r>
          <a:endParaRPr lang="en-US" sz="800">
            <a:latin typeface="Courier New" panose="02070309020205020404" pitchFamily="49" charset="0"/>
            <a:cs typeface="Courier New" panose="02070309020205020404" pitchFamily="49" charset="0"/>
          </a:endParaRP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poisgof</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Deviance goodness-of-fit =  9.822078</a:t>
          </a:r>
        </a:p>
        <a:p>
          <a:r>
            <a:rPr lang="en-US" sz="800">
              <a:latin typeface="Courier New" panose="02070309020205020404" pitchFamily="49" charset="0"/>
              <a:cs typeface="Courier New" panose="02070309020205020404" pitchFamily="49" charset="0"/>
            </a:rPr>
            <a:t>         Prob &gt; chi2(3)           =    0.0201</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Pearson goodness-of-fit  =  9.426667</a:t>
          </a:r>
        </a:p>
        <a:p>
          <a:r>
            <a:rPr lang="en-US" sz="800">
              <a:latin typeface="Courier New" panose="02070309020205020404" pitchFamily="49" charset="0"/>
              <a:cs typeface="Courier New" panose="02070309020205020404" pitchFamily="49" charset="0"/>
            </a:rPr>
            <a:t>         Prob &gt; chi2(3)           =    0.0241</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poisgof is a separate command that you run after a poisson regression,</a:t>
          </a:r>
          <a:r>
            <a:rPr lang="en-US" sz="800" baseline="0">
              <a:latin typeface="Courier New" panose="02070309020205020404" pitchFamily="49" charset="0"/>
              <a:cs typeface="Courier New" panose="02070309020205020404" pitchFamily="49" charset="0"/>
            </a:rPr>
            <a:t> and it tests goodness of fit with respect to the saturated model, i.e. the actual data.</a:t>
          </a:r>
          <a:endParaRPr lang="en-US" sz="800">
            <a:latin typeface="Courier New" panose="02070309020205020404" pitchFamily="49" charset="0"/>
            <a:cs typeface="Courier New" panose="02070309020205020404" pitchFamily="49" charset="0"/>
          </a:endParaRPr>
        </a:p>
        <a:p>
          <a:endParaRPr lang="en-US" sz="800">
            <a:latin typeface="Courier New" panose="02070309020205020404" pitchFamily="49" charset="0"/>
            <a:cs typeface="Courier New" panose="02070309020205020404" pitchFamily="49" charset="0"/>
          </a:endParaRP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Now on to the independence model:</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poisson count i.color_num i.live_num</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Iteration 0:   log likelihood = -9.5395876  </a:t>
          </a:r>
        </a:p>
        <a:p>
          <a:r>
            <a:rPr lang="en-US" sz="800">
              <a:latin typeface="Courier New" panose="02070309020205020404" pitchFamily="49" charset="0"/>
              <a:cs typeface="Courier New" panose="02070309020205020404" pitchFamily="49" charset="0"/>
            </a:rPr>
            <a:t>Iteration 1:   log likelihood = -9.5395873  </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Poisson regression                                Number of obs   =          4</a:t>
          </a:r>
        </a:p>
        <a:p>
          <a:r>
            <a:rPr lang="en-US" sz="800">
              <a:latin typeface="Courier New" panose="02070309020205020404" pitchFamily="49" charset="0"/>
              <a:cs typeface="Courier New" panose="02070309020205020404" pitchFamily="49" charset="0"/>
            </a:rPr>
            <a:t>                                                  LR chi2(2)      =       9.58</a:t>
          </a:r>
        </a:p>
        <a:p>
          <a:r>
            <a:rPr lang="en-US" sz="800">
              <a:latin typeface="Courier New" panose="02070309020205020404" pitchFamily="49" charset="0"/>
              <a:cs typeface="Courier New" panose="02070309020205020404" pitchFamily="49" charset="0"/>
            </a:rPr>
            <a:t>                                                  Prob &gt; chi2     =     0.0083</a:t>
          </a:r>
        </a:p>
        <a:p>
          <a:r>
            <a:rPr lang="en-US" sz="800">
              <a:latin typeface="Courier New" panose="02070309020205020404" pitchFamily="49" charset="0"/>
              <a:cs typeface="Courier New" panose="02070309020205020404" pitchFamily="49" charset="0"/>
            </a:rPr>
            <a:t>Log likelihood = -9.5395873                       Pseudo R2       =     0.3342</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a:t>
          </a:r>
        </a:p>
        <a:p>
          <a:r>
            <a:rPr lang="en-US" sz="800">
              <a:latin typeface="Courier New" panose="02070309020205020404" pitchFamily="49" charset="0"/>
              <a:cs typeface="Courier New" panose="02070309020205020404" pitchFamily="49" charset="0"/>
            </a:rPr>
            <a:t>       count |      Coef.   Std. Err.      z    P&gt;|z|     [95% Conf. Interval]</a:t>
          </a:r>
        </a:p>
        <a:p>
          <a:r>
            <a:rPr lang="en-US" sz="800">
              <a:latin typeface="Courier New" panose="02070309020205020404" pitchFamily="49" charset="0"/>
              <a:cs typeface="Courier New" panose="02070309020205020404" pitchFamily="49" charset="0"/>
            </a:rPr>
            <a:t>-------------+----------------------------------------------------------------</a:t>
          </a:r>
        </a:p>
        <a:p>
          <a:r>
            <a:rPr lang="en-US" sz="800">
              <a:latin typeface="Courier New" panose="02070309020205020404" pitchFamily="49" charset="0"/>
              <a:cs typeface="Courier New" panose="02070309020205020404" pitchFamily="49" charset="0"/>
            </a:rPr>
            <a:t>   color_num |</a:t>
          </a:r>
        </a:p>
        <a:p>
          <a:r>
            <a:rPr lang="en-US" sz="800">
              <a:latin typeface="Courier New" panose="02070309020205020404" pitchFamily="49" charset="0"/>
              <a:cs typeface="Courier New" panose="02070309020205020404" pitchFamily="49" charset="0"/>
            </a:rPr>
            <a:t>      Green  |  -.6931472    .244949    -2.83   0.005    -1.173238    -.213056</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live_num |</a:t>
          </a:r>
        </a:p>
        <a:p>
          <a:r>
            <a:rPr lang="en-US" sz="800">
              <a:latin typeface="Courier New" panose="02070309020205020404" pitchFamily="49" charset="0"/>
              <a:cs typeface="Courier New" panose="02070309020205020404" pitchFamily="49" charset="0"/>
            </a:rPr>
            <a:t>      Water  |   .2411621   .2326211     1.04   0.300    -.2147668    .6970909</a:t>
          </a:r>
        </a:p>
        <a:p>
          <a:r>
            <a:rPr lang="en-US" sz="800">
              <a:latin typeface="Courier New" panose="02070309020205020404" pitchFamily="49" charset="0"/>
              <a:cs typeface="Courier New" panose="02070309020205020404" pitchFamily="49" charset="0"/>
            </a:rPr>
            <a:t>       _cons |   3.091042   .1922751    16.08   0.000      2.71419    3.467895</a:t>
          </a:r>
        </a:p>
        <a:p>
          <a:r>
            <a:rPr lang="en-US" sz="800">
              <a:latin typeface="Courier New" panose="02070309020205020404" pitchFamily="49" charset="0"/>
              <a:cs typeface="Courier New" panose="02070309020205020404" pitchFamily="49" charset="0"/>
            </a:rPr>
            <a:t>------------------------------------------------------------------------------</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predict independence_model</a:t>
          </a:r>
        </a:p>
        <a:p>
          <a:r>
            <a:rPr lang="en-US" sz="800">
              <a:latin typeface="Courier New" panose="02070309020205020404" pitchFamily="49" charset="0"/>
              <a:cs typeface="Courier New" panose="02070309020205020404" pitchFamily="49" charset="0"/>
            </a:rPr>
            <a:t>(option n assumed; predicted number of events)</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poisgof</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Deviance goodness-of-fit =  .2445188</a:t>
          </a:r>
        </a:p>
        <a:p>
          <a:r>
            <a:rPr lang="en-US" sz="800">
              <a:latin typeface="Courier New" panose="02070309020205020404" pitchFamily="49" charset="0"/>
              <a:cs typeface="Courier New" panose="02070309020205020404" pitchFamily="49" charset="0"/>
            </a:rPr>
            <a:t>         Prob &gt; chi2(1)           =    0.6210</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Pearson goodness-of-fit  =  .2435065</a:t>
          </a:r>
        </a:p>
        <a:p>
          <a:r>
            <a:rPr lang="en-US" sz="800">
              <a:latin typeface="Courier New" panose="02070309020205020404" pitchFamily="49" charset="0"/>
              <a:cs typeface="Courier New" panose="02070309020205020404" pitchFamily="49" charset="0"/>
            </a:rPr>
            <a:t>         Prob &gt; chi2(1)           =    0.6217</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*62% probability of getting this much deviance from the actual data by chance. Which means, the independence model fits great, which we already knew.</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*The independence</a:t>
          </a:r>
          <a:r>
            <a:rPr lang="en-US" sz="800" baseline="0">
              <a:latin typeface="Courier New" panose="02070309020205020404" pitchFamily="49" charset="0"/>
              <a:cs typeface="Courier New" panose="02070309020205020404" pitchFamily="49" charset="0"/>
            </a:rPr>
            <a:t> model is one frog away in each cell from the actual data. It is a 1 df test between independence and actual data. The Chisquare value here (0.2445) is very close to the square of the Z-score test for log odds ratio for interaction (0.49). It is a different way of testing the same question: are row and column indpenendent or not? Answer: yes they are. The row and column model fits the data well without taking acount of any interaction between the row and column variables, i.e. between the color and residence of the frogs.</a:t>
          </a:r>
          <a:endParaRPr lang="en-US" sz="800">
            <a:latin typeface="Courier New" panose="02070309020205020404" pitchFamily="49" charset="0"/>
            <a:cs typeface="Courier New" panose="02070309020205020404" pitchFamily="49" charset="0"/>
          </a:endParaRP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table live_num color_num, contents(sum count sum independence_model ) row col</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a:t>
          </a:r>
        </a:p>
        <a:p>
          <a:r>
            <a:rPr lang="en-US" sz="800">
              <a:latin typeface="Courier New" panose="02070309020205020404" pitchFamily="49" charset="0"/>
              <a:cs typeface="Courier New" panose="02070309020205020404" pitchFamily="49" charset="0"/>
            </a:rPr>
            <a:t>          |      color_num     </a:t>
          </a:r>
        </a:p>
        <a:p>
          <a:r>
            <a:rPr lang="en-US" sz="800">
              <a:latin typeface="Courier New" panose="02070309020205020404" pitchFamily="49" charset="0"/>
              <a:cs typeface="Courier New" panose="02070309020205020404" pitchFamily="49" charset="0"/>
            </a:rPr>
            <a:t> live_num |  Blue  Green  Total</a:t>
          </a:r>
        </a:p>
        <a:p>
          <a:r>
            <a:rPr lang="en-US" sz="800">
              <a:latin typeface="Courier New" panose="02070309020205020404" pitchFamily="49" charset="0"/>
              <a:cs typeface="Courier New" panose="02070309020205020404" pitchFamily="49" charset="0"/>
            </a:rPr>
            <a:t>----------+--------------------</a:t>
          </a:r>
        </a:p>
        <a:p>
          <a:r>
            <a:rPr lang="en-US" sz="800">
              <a:latin typeface="Courier New" panose="02070309020205020404" pitchFamily="49" charset="0"/>
              <a:cs typeface="Courier New" panose="02070309020205020404" pitchFamily="49" charset="0"/>
            </a:rPr>
            <a:t>Lilly pad |    23     10     33</a:t>
          </a:r>
        </a:p>
        <a:p>
          <a:r>
            <a:rPr lang="en-US" sz="800">
              <a:latin typeface="Courier New" panose="02070309020205020404" pitchFamily="49" charset="0"/>
              <a:cs typeface="Courier New" panose="02070309020205020404" pitchFamily="49" charset="0"/>
            </a:rPr>
            <a:t>          |    22     11     33</a:t>
          </a:r>
        </a:p>
        <a:p>
          <a:r>
            <a:rPr lang="en-US" sz="800">
              <a:latin typeface="Courier New" panose="02070309020205020404" pitchFamily="49" charset="0"/>
              <a:cs typeface="Courier New" panose="02070309020205020404" pitchFamily="49" charset="0"/>
            </a:rPr>
            <a:t>          | </a:t>
          </a:r>
        </a:p>
        <a:p>
          <a:r>
            <a:rPr lang="en-US" sz="800">
              <a:latin typeface="Courier New" panose="02070309020205020404" pitchFamily="49" charset="0"/>
              <a:cs typeface="Courier New" panose="02070309020205020404" pitchFamily="49" charset="0"/>
            </a:rPr>
            <a:t>    Water |    27     15     42</a:t>
          </a:r>
        </a:p>
        <a:p>
          <a:r>
            <a:rPr lang="en-US" sz="800">
              <a:latin typeface="Courier New" panose="02070309020205020404" pitchFamily="49" charset="0"/>
              <a:cs typeface="Courier New" panose="02070309020205020404" pitchFamily="49" charset="0"/>
            </a:rPr>
            <a:t>          |    28     14     42</a:t>
          </a:r>
        </a:p>
        <a:p>
          <a:r>
            <a:rPr lang="en-US" sz="800">
              <a:latin typeface="Courier New" panose="02070309020205020404" pitchFamily="49" charset="0"/>
              <a:cs typeface="Courier New" panose="02070309020205020404" pitchFamily="49" charset="0"/>
            </a:rPr>
            <a:t>          | </a:t>
          </a:r>
        </a:p>
        <a:p>
          <a:r>
            <a:rPr lang="en-US" sz="800">
              <a:latin typeface="Courier New" panose="02070309020205020404" pitchFamily="49" charset="0"/>
              <a:cs typeface="Courier New" panose="02070309020205020404" pitchFamily="49" charset="0"/>
            </a:rPr>
            <a:t>    Total |    50     25     75</a:t>
          </a:r>
        </a:p>
        <a:p>
          <a:r>
            <a:rPr lang="en-US" sz="800">
              <a:latin typeface="Courier New" panose="02070309020205020404" pitchFamily="49" charset="0"/>
              <a:cs typeface="Courier New" panose="02070309020205020404" pitchFamily="49" charset="0"/>
            </a:rPr>
            <a:t>          |    50     25     75</a:t>
          </a:r>
        </a:p>
        <a:p>
          <a:r>
            <a:rPr lang="en-US" sz="800">
              <a:latin typeface="Courier New" panose="02070309020205020404" pitchFamily="49" charset="0"/>
              <a:cs typeface="Courier New" panose="02070309020205020404" pitchFamily="49" charset="0"/>
            </a:rPr>
            <a:t>-------------------------------</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*And now for the saturated</a:t>
          </a:r>
          <a:r>
            <a:rPr lang="en-US" sz="800" baseline="0">
              <a:latin typeface="Courier New" panose="02070309020205020404" pitchFamily="49" charset="0"/>
              <a:cs typeface="Courier New" panose="02070309020205020404" pitchFamily="49" charset="0"/>
            </a:rPr>
            <a:t> model, which will yield the log odds ratio and SE and Z score for the interaction between row and column (i.e. between color and living place) that we calculated by hand in the previous worksheet.</a:t>
          </a:r>
          <a:endParaRPr lang="en-US" sz="800">
            <a:latin typeface="Courier New" panose="02070309020205020404" pitchFamily="49" charset="0"/>
            <a:cs typeface="Courier New" panose="02070309020205020404" pitchFamily="49" charset="0"/>
          </a:endParaRP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poisson count i.color_num##i.live_num</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Iteration 0:   log likelihood =  -9.417463  </a:t>
          </a:r>
        </a:p>
        <a:p>
          <a:r>
            <a:rPr lang="en-US" sz="800">
              <a:latin typeface="Courier New" panose="02070309020205020404" pitchFamily="49" charset="0"/>
              <a:cs typeface="Courier New" panose="02070309020205020404" pitchFamily="49" charset="0"/>
            </a:rPr>
            <a:t>Iteration 1:   log likelihood = -9.4173319  </a:t>
          </a:r>
        </a:p>
        <a:p>
          <a:r>
            <a:rPr lang="en-US" sz="800">
              <a:latin typeface="Courier New" panose="02070309020205020404" pitchFamily="49" charset="0"/>
              <a:cs typeface="Courier New" panose="02070309020205020404" pitchFamily="49" charset="0"/>
            </a:rPr>
            <a:t>Iteration 2:   log likelihood = -9.4173319  </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Poisson regression                                Number of obs   =          4</a:t>
          </a:r>
        </a:p>
        <a:p>
          <a:r>
            <a:rPr lang="en-US" sz="800">
              <a:latin typeface="Courier New" panose="02070309020205020404" pitchFamily="49" charset="0"/>
              <a:cs typeface="Courier New" panose="02070309020205020404" pitchFamily="49" charset="0"/>
            </a:rPr>
            <a:t>                                                  LR chi2(3)      =       9.82</a:t>
          </a:r>
        </a:p>
        <a:p>
          <a:r>
            <a:rPr lang="en-US" sz="800">
              <a:latin typeface="Courier New" panose="02070309020205020404" pitchFamily="49" charset="0"/>
              <a:cs typeface="Courier New" panose="02070309020205020404" pitchFamily="49" charset="0"/>
            </a:rPr>
            <a:t>                                                  Prob &gt; chi2     =     0.0201</a:t>
          </a:r>
        </a:p>
        <a:p>
          <a:r>
            <a:rPr lang="en-US" sz="800">
              <a:latin typeface="Courier New" panose="02070309020205020404" pitchFamily="49" charset="0"/>
              <a:cs typeface="Courier New" panose="02070309020205020404" pitchFamily="49" charset="0"/>
            </a:rPr>
            <a:t>Log likelihood = -9.4173319                       Pseudo R2       =     0.3427</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a:t>
          </a:r>
        </a:p>
        <a:p>
          <a:r>
            <a:rPr lang="en-US" sz="800">
              <a:latin typeface="Courier New" panose="02070309020205020404" pitchFamily="49" charset="0"/>
              <a:cs typeface="Courier New" panose="02070309020205020404" pitchFamily="49" charset="0"/>
            </a:rPr>
            <a:t>             count |      Coef.   Std. Err.      z    P&gt;|z|     [95% Conf. Interval]</a:t>
          </a:r>
        </a:p>
        <a:p>
          <a:r>
            <a:rPr lang="en-US" sz="800">
              <a:latin typeface="Courier New" panose="02070309020205020404" pitchFamily="49" charset="0"/>
              <a:cs typeface="Courier New" panose="02070309020205020404" pitchFamily="49" charset="0"/>
            </a:rPr>
            <a:t>-------------------+----------------------------------------------------------------</a:t>
          </a:r>
        </a:p>
        <a:p>
          <a:r>
            <a:rPr lang="en-US" sz="800">
              <a:latin typeface="Courier New" panose="02070309020205020404" pitchFamily="49" charset="0"/>
              <a:cs typeface="Courier New" panose="02070309020205020404" pitchFamily="49" charset="0"/>
            </a:rPr>
            <a:t>         color_num |</a:t>
          </a:r>
        </a:p>
        <a:p>
          <a:r>
            <a:rPr lang="en-US" sz="800">
              <a:latin typeface="Courier New" panose="02070309020205020404" pitchFamily="49" charset="0"/>
              <a:cs typeface="Courier New" panose="02070309020205020404" pitchFamily="49" charset="0"/>
            </a:rPr>
            <a:t>            Green  |  -.8329091   .3787852    -2.20   0.028    -1.575315   -.0905037</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live_num |</a:t>
          </a:r>
        </a:p>
        <a:p>
          <a:r>
            <a:rPr lang="en-US" sz="800">
              <a:latin typeface="Courier New" panose="02070309020205020404" pitchFamily="49" charset="0"/>
              <a:cs typeface="Courier New" panose="02070309020205020404" pitchFamily="49" charset="0"/>
            </a:rPr>
            <a:t>            Water  |   .1603427   .2837522     0.57   0.572    -.3958014    .7164867</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color_num#live_num |</a:t>
          </a:r>
        </a:p>
        <a:p>
          <a:r>
            <a:rPr lang="en-US" sz="800">
              <a:latin typeface="Courier New" panose="02070309020205020404" pitchFamily="49" charset="0"/>
              <a:cs typeface="Courier New" panose="02070309020205020404" pitchFamily="49" charset="0"/>
            </a:rPr>
            <a:t>      Green#Water  |   .2451225    .497174     0.49   0.622    -.7293206    1.219566</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_cons |   3.135494   .2085144    15.04   0.000     2.726813    3.544175</a:t>
          </a:r>
        </a:p>
        <a:p>
          <a:r>
            <a:rPr lang="en-US" sz="800">
              <a:latin typeface="Courier New" panose="02070309020205020404" pitchFamily="49" charset="0"/>
              <a:cs typeface="Courier New" panose="02070309020205020404" pitchFamily="49" charset="0"/>
            </a:rPr>
            <a:t>------------------------------------------------------------------------------------</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predict saturated_model</a:t>
          </a:r>
        </a:p>
        <a:p>
          <a:r>
            <a:rPr lang="en-US" sz="800">
              <a:latin typeface="Courier New" panose="02070309020205020404" pitchFamily="49" charset="0"/>
              <a:cs typeface="Courier New" panose="02070309020205020404" pitchFamily="49" charset="0"/>
            </a:rPr>
            <a:t>(option n assumed; predicted number of events)</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*Saturated model fits the data exactly.</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table live_num color_num, contents(sum count sum saturated_model) row col</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a:t>
          </a:r>
        </a:p>
        <a:p>
          <a:r>
            <a:rPr lang="en-US" sz="800">
              <a:latin typeface="Courier New" panose="02070309020205020404" pitchFamily="49" charset="0"/>
              <a:cs typeface="Courier New" panose="02070309020205020404" pitchFamily="49" charset="0"/>
            </a:rPr>
            <a:t>          |      color_num     </a:t>
          </a:r>
        </a:p>
        <a:p>
          <a:r>
            <a:rPr lang="en-US" sz="800">
              <a:latin typeface="Courier New" panose="02070309020205020404" pitchFamily="49" charset="0"/>
              <a:cs typeface="Courier New" panose="02070309020205020404" pitchFamily="49" charset="0"/>
            </a:rPr>
            <a:t> live_num |  Blue  Green  Total</a:t>
          </a:r>
        </a:p>
        <a:p>
          <a:r>
            <a:rPr lang="en-US" sz="800">
              <a:latin typeface="Courier New" panose="02070309020205020404" pitchFamily="49" charset="0"/>
              <a:cs typeface="Courier New" panose="02070309020205020404" pitchFamily="49" charset="0"/>
            </a:rPr>
            <a:t>----------+--------------------</a:t>
          </a:r>
        </a:p>
        <a:p>
          <a:r>
            <a:rPr lang="en-US" sz="800">
              <a:latin typeface="Courier New" panose="02070309020205020404" pitchFamily="49" charset="0"/>
              <a:cs typeface="Courier New" panose="02070309020205020404" pitchFamily="49" charset="0"/>
            </a:rPr>
            <a:t>Lilly pad |    23     10     33</a:t>
          </a:r>
        </a:p>
        <a:p>
          <a:r>
            <a:rPr lang="en-US" sz="800">
              <a:latin typeface="Courier New" panose="02070309020205020404" pitchFamily="49" charset="0"/>
              <a:cs typeface="Courier New" panose="02070309020205020404" pitchFamily="49" charset="0"/>
            </a:rPr>
            <a:t>          |    23     10     33</a:t>
          </a:r>
        </a:p>
        <a:p>
          <a:r>
            <a:rPr lang="en-US" sz="800">
              <a:latin typeface="Courier New" panose="02070309020205020404" pitchFamily="49" charset="0"/>
              <a:cs typeface="Courier New" panose="02070309020205020404" pitchFamily="49" charset="0"/>
            </a:rPr>
            <a:t>          | </a:t>
          </a:r>
        </a:p>
        <a:p>
          <a:r>
            <a:rPr lang="en-US" sz="800">
              <a:latin typeface="Courier New" panose="02070309020205020404" pitchFamily="49" charset="0"/>
              <a:cs typeface="Courier New" panose="02070309020205020404" pitchFamily="49" charset="0"/>
            </a:rPr>
            <a:t>    Water |    27     15     42</a:t>
          </a:r>
        </a:p>
        <a:p>
          <a:r>
            <a:rPr lang="en-US" sz="800">
              <a:latin typeface="Courier New" panose="02070309020205020404" pitchFamily="49" charset="0"/>
              <a:cs typeface="Courier New" panose="02070309020205020404" pitchFamily="49" charset="0"/>
            </a:rPr>
            <a:t>          |    27     15     42</a:t>
          </a:r>
        </a:p>
        <a:p>
          <a:r>
            <a:rPr lang="en-US" sz="800">
              <a:latin typeface="Courier New" panose="02070309020205020404" pitchFamily="49" charset="0"/>
              <a:cs typeface="Courier New" panose="02070309020205020404" pitchFamily="49" charset="0"/>
            </a:rPr>
            <a:t>          | </a:t>
          </a:r>
        </a:p>
        <a:p>
          <a:r>
            <a:rPr lang="en-US" sz="800">
              <a:latin typeface="Courier New" panose="02070309020205020404" pitchFamily="49" charset="0"/>
              <a:cs typeface="Courier New" panose="02070309020205020404" pitchFamily="49" charset="0"/>
            </a:rPr>
            <a:t>    Total |    50     25     75</a:t>
          </a:r>
        </a:p>
        <a:p>
          <a:r>
            <a:rPr lang="en-US" sz="800">
              <a:latin typeface="Courier New" panose="02070309020205020404" pitchFamily="49" charset="0"/>
              <a:cs typeface="Courier New" panose="02070309020205020404" pitchFamily="49" charset="0"/>
            </a:rPr>
            <a:t>          |    50     25     75</a:t>
          </a:r>
        </a:p>
        <a:p>
          <a:r>
            <a:rPr lang="en-US" sz="800">
              <a:latin typeface="Courier New" panose="02070309020205020404" pitchFamily="49" charset="0"/>
              <a:cs typeface="Courier New" panose="02070309020205020404" pitchFamily="49" charset="0"/>
            </a:rPr>
            <a:t>-------------------------------</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poisgof</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Deviance goodness-of-fit =  7.95e-06</a:t>
          </a:r>
        </a:p>
        <a:p>
          <a:r>
            <a:rPr lang="en-US" sz="800">
              <a:latin typeface="Courier New" panose="02070309020205020404" pitchFamily="49" charset="0"/>
              <a:cs typeface="Courier New" panose="02070309020205020404" pitchFamily="49" charset="0"/>
            </a:rPr>
            <a:t>         Prob &gt; chi2(0)           =         .</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Pearson goodness-of-fit  =         0</a:t>
          </a:r>
        </a:p>
        <a:p>
          <a:r>
            <a:rPr lang="en-US" sz="800">
              <a:latin typeface="Courier New" panose="02070309020205020404" pitchFamily="49" charset="0"/>
              <a:cs typeface="Courier New" panose="02070309020205020404" pitchFamily="49" charset="0"/>
            </a:rPr>
            <a:t>         Prob &gt; chi2(0)           =         .</a:t>
          </a:r>
        </a:p>
        <a:p>
          <a:endParaRPr lang="en-US" sz="800">
            <a:latin typeface="Courier New" panose="02070309020205020404" pitchFamily="49" charset="0"/>
            <a:cs typeface="Courier New" panose="02070309020205020404" pitchFamily="49" charset="0"/>
          </a:endParaRPr>
        </a:p>
        <a:p>
          <a:endParaRPr lang="en-US" sz="800">
            <a:latin typeface="Courier New" panose="02070309020205020404" pitchFamily="49" charset="0"/>
            <a:cs typeface="Courier New" panose="02070309020205020404" pitchFamily="49" charset="0"/>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6</xdr:col>
      <xdr:colOff>7620</xdr:colOff>
      <xdr:row>8</xdr:row>
      <xdr:rowOff>121920</xdr:rowOff>
    </xdr:from>
    <xdr:to>
      <xdr:col>14</xdr:col>
      <xdr:colOff>426720</xdr:colOff>
      <xdr:row>26</xdr:row>
      <xdr:rowOff>38100</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144780</xdr:colOff>
      <xdr:row>47</xdr:row>
      <xdr:rowOff>68580</xdr:rowOff>
    </xdr:from>
    <xdr:to>
      <xdr:col>6</xdr:col>
      <xdr:colOff>144780</xdr:colOff>
      <xdr:row>51</xdr:row>
      <xdr:rowOff>68580</xdr:rowOff>
    </xdr:to>
    <xdr:sp macro="" textlink="">
      <xdr:nvSpPr>
        <xdr:cNvPr id="3" name="Text Box 4"/>
        <xdr:cNvSpPr txBox="1">
          <a:spLocks noChangeArrowheads="1"/>
        </xdr:cNvSpPr>
      </xdr:nvSpPr>
      <xdr:spPr bwMode="auto">
        <a:xfrm>
          <a:off x="754380" y="7947660"/>
          <a:ext cx="3048000" cy="67056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576" tIns="27432" rIns="0" bIns="0" anchor="t" upright="1"/>
        <a:lstStyle/>
        <a:p>
          <a:pPr algn="l" rtl="0">
            <a:defRPr sz="1000"/>
          </a:pPr>
          <a:r>
            <a:rPr lang="en-US" sz="1000" b="0" i="0" u="none" strike="noStrike" baseline="0">
              <a:solidFill>
                <a:srgbClr val="000000"/>
              </a:solidFill>
              <a:latin typeface="Arial"/>
              <a:cs typeface="Arial"/>
            </a:rPr>
            <a:t>And now, below, the cumulative probability of the poisson distribution.  I.E., what is the probability of Poisson(l) &lt;=X?</a:t>
          </a:r>
        </a:p>
        <a:p>
          <a:pPr algn="l" rtl="0">
            <a:defRPr sz="1000"/>
          </a:pPr>
          <a:endParaRPr lang="en-US" sz="1000" b="0" i="0" u="none" strike="noStrike" baseline="0">
            <a:solidFill>
              <a:srgbClr val="000000"/>
            </a:solidFill>
            <a:latin typeface="Arial"/>
            <a:cs typeface="Arial"/>
          </a:endParaRPr>
        </a:p>
      </xdr:txBody>
    </xdr:sp>
    <xdr:clientData/>
  </xdr:twoCellAnchor>
  <xdr:twoCellAnchor>
    <xdr:from>
      <xdr:col>7</xdr:col>
      <xdr:colOff>0</xdr:colOff>
      <xdr:row>58</xdr:row>
      <xdr:rowOff>0</xdr:rowOff>
    </xdr:from>
    <xdr:to>
      <xdr:col>15</xdr:col>
      <xdr:colOff>426720</xdr:colOff>
      <xdr:row>75</xdr:row>
      <xdr:rowOff>99060</xdr:rowOff>
    </xdr:to>
    <xdr:graphicFrame macro="">
      <xdr:nvGraphicFramePr>
        <xdr:cNvPr id="4"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1</xdr:col>
      <xdr:colOff>228600</xdr:colOff>
      <xdr:row>0</xdr:row>
      <xdr:rowOff>160020</xdr:rowOff>
    </xdr:from>
    <xdr:to>
      <xdr:col>6</xdr:col>
      <xdr:colOff>83820</xdr:colOff>
      <xdr:row>7</xdr:row>
      <xdr:rowOff>76200</xdr:rowOff>
    </xdr:to>
    <xdr:sp macro="" textlink="">
      <xdr:nvSpPr>
        <xdr:cNvPr id="2" name="Text Box 1"/>
        <xdr:cNvSpPr txBox="1">
          <a:spLocks noChangeArrowheads="1"/>
        </xdr:cNvSpPr>
      </xdr:nvSpPr>
      <xdr:spPr bwMode="auto">
        <a:xfrm>
          <a:off x="838200" y="160020"/>
          <a:ext cx="2903220" cy="108966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576" tIns="27432" rIns="0" bIns="0" anchor="t" upright="1"/>
        <a:lstStyle/>
        <a:p>
          <a:pPr algn="l" rtl="0">
            <a:defRPr sz="1000"/>
          </a:pPr>
          <a:r>
            <a:rPr lang="en-US" sz="1000" b="0" i="0" u="none" strike="noStrike" baseline="0">
              <a:solidFill>
                <a:srgbClr val="000000"/>
              </a:solidFill>
              <a:latin typeface="Arial"/>
              <a:cs typeface="Arial"/>
            </a:rPr>
            <a:t>Here's a look at the individual likelihood functions and the joint likelihood and joint log likelihood function for Poisson distribution given the following observed values, or Ks</a:t>
          </a:r>
        </a:p>
      </xdr:txBody>
    </xdr:sp>
    <xdr:clientData/>
  </xdr:twoCellAnchor>
  <xdr:twoCellAnchor>
    <xdr:from>
      <xdr:col>10</xdr:col>
      <xdr:colOff>137160</xdr:colOff>
      <xdr:row>12</xdr:row>
      <xdr:rowOff>38100</xdr:rowOff>
    </xdr:from>
    <xdr:to>
      <xdr:col>21</xdr:col>
      <xdr:colOff>411480</xdr:colOff>
      <xdr:row>35</xdr:row>
      <xdr:rowOff>0</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335280</xdr:colOff>
      <xdr:row>35</xdr:row>
      <xdr:rowOff>45720</xdr:rowOff>
    </xdr:from>
    <xdr:to>
      <xdr:col>22</xdr:col>
      <xdr:colOff>7620</xdr:colOff>
      <xdr:row>58</xdr:row>
      <xdr:rowOff>22860</xdr:rowOff>
    </xdr:to>
    <xdr:graphicFrame macro="">
      <xdr:nvGraphicFramePr>
        <xdr:cNvPr id="4"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c:userShapes xmlns:c="http://schemas.openxmlformats.org/drawingml/2006/chart">
  <cdr:relSizeAnchor xmlns:cdr="http://schemas.openxmlformats.org/drawingml/2006/chartDrawing">
    <cdr:from>
      <cdr:x>0.38429</cdr:x>
      <cdr:y>0.23826</cdr:y>
    </cdr:from>
    <cdr:to>
      <cdr:x>0.38429</cdr:x>
      <cdr:y>0.82274</cdr:y>
    </cdr:to>
    <cdr:sp macro="" textlink="">
      <cdr:nvSpPr>
        <cdr:cNvPr id="4097" name="Line 1"/>
        <cdr:cNvSpPr>
          <a:spLocks xmlns:a="http://schemas.openxmlformats.org/drawingml/2006/main" noChangeShapeType="1"/>
        </cdr:cNvSpPr>
      </cdr:nvSpPr>
      <cdr:spPr bwMode="auto">
        <a:xfrm xmlns:a="http://schemas.openxmlformats.org/drawingml/2006/main">
          <a:off x="2682729" y="908858"/>
          <a:ext cx="0" cy="2235784"/>
        </a:xfrm>
        <a:prstGeom xmlns:a="http://schemas.openxmlformats.org/drawingml/2006/main" prst="line">
          <a:avLst/>
        </a:prstGeom>
        <a:noFill xmlns:a="http://schemas.openxmlformats.org/drawingml/2006/main"/>
        <a:ln xmlns:a="http://schemas.openxmlformats.org/drawingml/2006/main" w="19050">
          <a:solidFill>
            <a:srgbClr xmlns:mc="http://schemas.openxmlformats.org/markup-compatibility/2006" xmlns:a14="http://schemas.microsoft.com/office/drawing/2010/main" val="000000" mc:Ignorable="a14" a14:legacySpreadsheetColorIndex="64"/>
          </a:solidFill>
          <a:round/>
          <a:headEnd/>
          <a:tailEnd/>
        </a:ln>
        <a:extLst xmlns:a="http://schemas.openxmlformats.org/drawingml/2006/main">
          <a:ext uri="{909E8E84-426E-40DD-AFC4-6F175D3DCCD1}">
            <a14:hiddenFill xmlns:a14="http://schemas.microsoft.com/office/drawing/2010/main">
              <a:noFill/>
            </a14:hiddenFill>
          </a:ext>
        </a:extLst>
      </cdr:spPr>
    </cdr:sp>
  </cdr:relSizeAnchor>
</c:userShapes>
</file>

<file path=xl/drawings/drawing6.xml><?xml version="1.0" encoding="utf-8"?>
<c:userShapes xmlns:c="http://schemas.openxmlformats.org/drawingml/2006/chart">
  <cdr:relSizeAnchor xmlns:cdr="http://schemas.openxmlformats.org/drawingml/2006/chartDrawing">
    <cdr:from>
      <cdr:x>0.34983</cdr:x>
      <cdr:y>0.16896</cdr:y>
    </cdr:from>
    <cdr:to>
      <cdr:x>0.34983</cdr:x>
      <cdr:y>0.42198</cdr:y>
    </cdr:to>
    <cdr:sp macro="" textlink="">
      <cdr:nvSpPr>
        <cdr:cNvPr id="5122" name="Line 2"/>
        <cdr:cNvSpPr>
          <a:spLocks xmlns:a="http://schemas.openxmlformats.org/drawingml/2006/main" noChangeShapeType="1"/>
        </cdr:cNvSpPr>
      </cdr:nvSpPr>
      <cdr:spPr bwMode="auto">
        <a:xfrm xmlns:a="http://schemas.openxmlformats.org/drawingml/2006/main">
          <a:off x="2444547" y="646341"/>
          <a:ext cx="0" cy="971722"/>
        </a:xfrm>
        <a:prstGeom xmlns:a="http://schemas.openxmlformats.org/drawingml/2006/main" prst="line">
          <a:avLst/>
        </a:prstGeom>
        <a:noFill xmlns:a="http://schemas.openxmlformats.org/drawingml/2006/main"/>
        <a:ln xmlns:a="http://schemas.openxmlformats.org/drawingml/2006/main" w="19050">
          <a:solidFill>
            <a:srgbClr xmlns:mc="http://schemas.openxmlformats.org/markup-compatibility/2006" xmlns:a14="http://schemas.microsoft.com/office/drawing/2010/main" val="000000" mc:Ignorable="a14" a14:legacySpreadsheetColorIndex="64"/>
          </a:solidFill>
          <a:round/>
          <a:headEnd/>
          <a:tailEnd/>
        </a:ln>
        <a:extLst xmlns:a="http://schemas.openxmlformats.org/drawingml/2006/main">
          <a:ext uri="{909E8E84-426E-40DD-AFC4-6F175D3DCCD1}">
            <a14:hiddenFill xmlns:a14="http://schemas.microsoft.com/office/drawing/2010/main">
              <a:noFill/>
            </a14:hiddenFill>
          </a:ext>
        </a:extLst>
      </cdr:spPr>
    </cdr:sp>
  </cdr:relSizeAnchor>
</c:userShapes>
</file>

<file path=xl/drawings/drawing7.xml><?xml version="1.0" encoding="utf-8"?>
<xdr:wsDr xmlns:xdr="http://schemas.openxmlformats.org/drawingml/2006/spreadsheetDrawing" xmlns:a="http://schemas.openxmlformats.org/drawingml/2006/main">
  <xdr:oneCellAnchor>
    <xdr:from>
      <xdr:col>5</xdr:col>
      <xdr:colOff>171449</xdr:colOff>
      <xdr:row>23</xdr:row>
      <xdr:rowOff>114300</xdr:rowOff>
    </xdr:from>
    <xdr:ext cx="9401175" cy="125665170"/>
    <xdr:sp macro="" textlink="">
      <xdr:nvSpPr>
        <xdr:cNvPr id="2" name="TextBox 1"/>
        <xdr:cNvSpPr txBox="1"/>
      </xdr:nvSpPr>
      <xdr:spPr>
        <a:xfrm>
          <a:off x="3219449" y="5753100"/>
          <a:ext cx="9401175" cy="12566517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lang="en-US" sz="900">
              <a:latin typeface="Courier New" panose="02070309020205020404" pitchFamily="49" charset="0"/>
              <a:cs typeface="Courier New" panose="02070309020205020404" pitchFamily="49" charset="0"/>
            </a:rPr>
            <a:t>On this page we work</a:t>
          </a:r>
          <a:r>
            <a:rPr lang="en-US" sz="900" baseline="0">
              <a:latin typeface="Courier New" panose="02070309020205020404" pitchFamily="49" charset="0"/>
              <a:cs typeface="Courier New" panose="02070309020205020404" pitchFamily="49" charset="0"/>
            </a:rPr>
            <a:t> through some examples of Treiman's Ch 12, occupational mobility between fathers and children, Table 12.9 starting on p. 280.</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The 7x7 dataset looks like this:</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tabulate fathers_occ childs_occ [fweight=count]</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                                  childs_occ</a:t>
          </a:r>
        </a:p>
        <a:p>
          <a:r>
            <a:rPr lang="en-US" sz="900" baseline="0">
              <a:latin typeface="Courier New" panose="02070309020205020404" pitchFamily="49" charset="0"/>
              <a:cs typeface="Courier New" panose="02070309020205020404" pitchFamily="49" charset="0"/>
            </a:rPr>
            <a:t> fathers_occ | professio      cadre   clerical      sales    service     manual  agricultu |     Total</a:t>
          </a: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professional |        57         11          8         30          9         61         69 |       245 </a:t>
          </a:r>
        </a:p>
        <a:p>
          <a:r>
            <a:rPr lang="en-US" sz="900" baseline="0">
              <a:latin typeface="Courier New" panose="02070309020205020404" pitchFamily="49" charset="0"/>
              <a:cs typeface="Courier New" panose="02070309020205020404" pitchFamily="49" charset="0"/>
            </a:rPr>
            <a:t>       cadre |        36         13         17         16          6         35         31 |       154 </a:t>
          </a:r>
        </a:p>
        <a:p>
          <a:r>
            <a:rPr lang="en-US" sz="900" baseline="0">
              <a:latin typeface="Courier New" panose="02070309020205020404" pitchFamily="49" charset="0"/>
              <a:cs typeface="Courier New" panose="02070309020205020404" pitchFamily="49" charset="0"/>
            </a:rPr>
            <a:t>    clerical |        14          4          8          8          0         22         16 |        72 </a:t>
          </a:r>
        </a:p>
        <a:p>
          <a:r>
            <a:rPr lang="en-US" sz="900" baseline="0">
              <a:latin typeface="Courier New" panose="02070309020205020404" pitchFamily="49" charset="0"/>
              <a:cs typeface="Courier New" panose="02070309020205020404" pitchFamily="49" charset="0"/>
            </a:rPr>
            <a:t>       sales |         9          9          2         21          7         28         20 |        96 </a:t>
          </a:r>
        </a:p>
        <a:p>
          <a:r>
            <a:rPr lang="en-US" sz="900" baseline="0">
              <a:latin typeface="Courier New" panose="02070309020205020404" pitchFamily="49" charset="0"/>
              <a:cs typeface="Courier New" panose="02070309020205020404" pitchFamily="49" charset="0"/>
            </a:rPr>
            <a:t>     service |        10          5          4         11         10         12         10 |        62 </a:t>
          </a:r>
        </a:p>
        <a:p>
          <a:r>
            <a:rPr lang="en-US" sz="900" baseline="0">
              <a:latin typeface="Courier New" panose="02070309020205020404" pitchFamily="49" charset="0"/>
              <a:cs typeface="Courier New" panose="02070309020205020404" pitchFamily="49" charset="0"/>
            </a:rPr>
            <a:t>      manual |        46         22         23         50         26        236        124 |       527 </a:t>
          </a:r>
        </a:p>
        <a:p>
          <a:r>
            <a:rPr lang="en-US" sz="900" baseline="0">
              <a:latin typeface="Courier New" panose="02070309020205020404" pitchFamily="49" charset="0"/>
              <a:cs typeface="Courier New" panose="02070309020205020404" pitchFamily="49" charset="0"/>
            </a:rPr>
            <a:t>agricultural |       131         61         43        140         59        416      2,495 |     3,345 </a:t>
          </a: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Total |       303        125        105        276        117        810      2,765 |     4,501 </a:t>
          </a: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First, he endeavors to find out whether the sales and service workers are at the same level in a mobility scheme. He does this by recoding category 4 and 5 (sales and service) into a new variable this way:</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gen byte fathers_occ6=fathers_occ if fathers_occ&lt;5</a:t>
          </a:r>
        </a:p>
        <a:p>
          <a:r>
            <a:rPr lang="en-US" sz="900" baseline="0">
              <a:latin typeface="Courier New" panose="02070309020205020404" pitchFamily="49" charset="0"/>
              <a:cs typeface="Courier New" panose="02070309020205020404" pitchFamily="49" charset="0"/>
            </a:rPr>
            <a:t>(21 missing values generated)</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replace fathers_occ6=4 if fathers_occ==5</a:t>
          </a:r>
        </a:p>
        <a:p>
          <a:r>
            <a:rPr lang="en-US" sz="900" baseline="0">
              <a:latin typeface="Courier New" panose="02070309020205020404" pitchFamily="49" charset="0"/>
              <a:cs typeface="Courier New" panose="02070309020205020404" pitchFamily="49" charset="0"/>
            </a:rPr>
            <a:t>(7 real changes made)</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replace fathers_occ6=fathers_occ-1 if fathers_occ&gt;=6 &amp; fathers_occ&lt;=7</a:t>
          </a:r>
        </a:p>
        <a:p>
          <a:r>
            <a:rPr lang="en-US" sz="900" baseline="0">
              <a:latin typeface="Courier New" panose="02070309020205020404" pitchFamily="49" charset="0"/>
              <a:cs typeface="Courier New" panose="02070309020205020404" pitchFamily="49" charset="0"/>
            </a:rPr>
            <a:t>(14 real changes made)</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gen byte childs_occ6=childs_occ if childs_occ&lt;5</a:t>
          </a:r>
        </a:p>
        <a:p>
          <a:r>
            <a:rPr lang="en-US" sz="900" baseline="0">
              <a:latin typeface="Courier New" panose="02070309020205020404" pitchFamily="49" charset="0"/>
              <a:cs typeface="Courier New" panose="02070309020205020404" pitchFamily="49" charset="0"/>
            </a:rPr>
            <a:t>(21 missing values generated)</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replace childs_occ6=childs_occ-1 if childs_occ&gt;=5</a:t>
          </a:r>
        </a:p>
        <a:p>
          <a:r>
            <a:rPr lang="en-US" sz="900" baseline="0">
              <a:latin typeface="Courier New" panose="02070309020205020404" pitchFamily="49" charset="0"/>
              <a:cs typeface="Courier New" panose="02070309020205020404" pitchFamily="49" charset="0"/>
            </a:rPr>
            <a:t>(21 real changes made)</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table fathers_occ, contents(mean fathers_occ6)</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fathers_occ | mean(father~6)</a:t>
          </a: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professional |              1</a:t>
          </a:r>
        </a:p>
        <a:p>
          <a:r>
            <a:rPr lang="en-US" sz="900" baseline="0">
              <a:latin typeface="Courier New" panose="02070309020205020404" pitchFamily="49" charset="0"/>
              <a:cs typeface="Courier New" panose="02070309020205020404" pitchFamily="49" charset="0"/>
            </a:rPr>
            <a:t>       cadre |              2</a:t>
          </a:r>
        </a:p>
        <a:p>
          <a:r>
            <a:rPr lang="en-US" sz="900" baseline="0">
              <a:latin typeface="Courier New" panose="02070309020205020404" pitchFamily="49" charset="0"/>
              <a:cs typeface="Courier New" panose="02070309020205020404" pitchFamily="49" charset="0"/>
            </a:rPr>
            <a:t>    clerical |              3</a:t>
          </a:r>
        </a:p>
        <a:p>
          <a:r>
            <a:rPr lang="en-US" sz="900" baseline="0">
              <a:latin typeface="Courier New" panose="02070309020205020404" pitchFamily="49" charset="0"/>
              <a:cs typeface="Courier New" panose="02070309020205020404" pitchFamily="49" charset="0"/>
            </a:rPr>
            <a:t>       sales |              4</a:t>
          </a:r>
        </a:p>
        <a:p>
          <a:r>
            <a:rPr lang="en-US" sz="900" baseline="0">
              <a:latin typeface="Courier New" panose="02070309020205020404" pitchFamily="49" charset="0"/>
              <a:cs typeface="Courier New" panose="02070309020205020404" pitchFamily="49" charset="0"/>
            </a:rPr>
            <a:t>     service |              4</a:t>
          </a:r>
        </a:p>
        <a:p>
          <a:r>
            <a:rPr lang="en-US" sz="900" baseline="0">
              <a:latin typeface="Courier New" panose="02070309020205020404" pitchFamily="49" charset="0"/>
              <a:cs typeface="Courier New" panose="02070309020205020404" pitchFamily="49" charset="0"/>
            </a:rPr>
            <a:t>      manual |              5</a:t>
          </a:r>
        </a:p>
        <a:p>
          <a:r>
            <a:rPr lang="en-US" sz="900" baseline="0">
              <a:latin typeface="Courier New" panose="02070309020205020404" pitchFamily="49" charset="0"/>
              <a:cs typeface="Courier New" panose="02070309020205020404" pitchFamily="49" charset="0"/>
            </a:rPr>
            <a:t>agricultural |              6</a:t>
          </a:r>
        </a:p>
        <a:p>
          <a:r>
            <a:rPr lang="en-US" sz="900" baseline="0">
              <a:latin typeface="Courier New" panose="02070309020205020404" pitchFamily="49" charset="0"/>
              <a:cs typeface="Courier New" panose="02070309020205020404" pitchFamily="49" charset="0"/>
            </a:rPr>
            <a:t>-----------------------------</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*So occ6 shrinks father's occ from 7 to 6 categories. Then he runs the following model, using the full 7 categories for the independence part, but only the 6x6 categories for the interactions:</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poisson count i.fathers_occ i.childs_occ i.fathers_occ6#i.childs_occ6</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Poisson regression                                Number of obs   =         49</a:t>
          </a:r>
        </a:p>
        <a:p>
          <a:r>
            <a:rPr lang="en-US" sz="900" baseline="0">
              <a:latin typeface="Courier New" panose="02070309020205020404" pitchFamily="49" charset="0"/>
              <a:cs typeface="Courier New" panose="02070309020205020404" pitchFamily="49" charset="0"/>
            </a:rPr>
            <a:t>                                                  LR chi2(37)     =   16343.70</a:t>
          </a:r>
        </a:p>
        <a:p>
          <a:r>
            <a:rPr lang="en-US" sz="900" baseline="0">
              <a:latin typeface="Courier New" panose="02070309020205020404" pitchFamily="49" charset="0"/>
              <a:cs typeface="Courier New" panose="02070309020205020404" pitchFamily="49" charset="0"/>
            </a:rPr>
            <a:t>                                                  Prob &gt; chi2     =     0.0000</a:t>
          </a:r>
        </a:p>
        <a:p>
          <a:r>
            <a:rPr lang="en-US" sz="900" baseline="0">
              <a:latin typeface="Courier New" panose="02070309020205020404" pitchFamily="49" charset="0"/>
              <a:cs typeface="Courier New" panose="02070309020205020404" pitchFamily="49" charset="0"/>
            </a:rPr>
            <a:t>Log likelihood = -128.13162                       Pseudo R2       =     0.9846</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count |      Coef.   Std. Err.      z    P&gt;|z|     [95% Conf. Interval]</a:t>
          </a: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.....coefficients ommitted</a:t>
          </a:r>
        </a:p>
        <a:p>
          <a:r>
            <a:rPr lang="en-US" sz="900" baseline="0">
              <a:latin typeface="Courier New" panose="02070309020205020404" pitchFamily="49" charset="0"/>
              <a:cs typeface="Courier New" panose="02070309020205020404" pitchFamily="49" charset="0"/>
            </a:rPr>
            <a:t>------------------------------------------------------------------------------------------</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poisgof</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Deviance goodness-of-fit =  16.05621</a:t>
          </a:r>
        </a:p>
        <a:p>
          <a:r>
            <a:rPr lang="en-US" sz="900" baseline="0">
              <a:latin typeface="Courier New" panose="02070309020205020404" pitchFamily="49" charset="0"/>
              <a:cs typeface="Courier New" panose="02070309020205020404" pitchFamily="49" charset="0"/>
            </a:rPr>
            <a:t>         Prob &gt; chi2(11)          =    0.1391</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Pearson goodness-of-fit  =  14.32722</a:t>
          </a:r>
        </a:p>
        <a:p>
          <a:r>
            <a:rPr lang="en-US" sz="900" baseline="0">
              <a:latin typeface="Courier New" panose="02070309020205020404" pitchFamily="49" charset="0"/>
              <a:cs typeface="Courier New" panose="02070309020205020404" pitchFamily="49" charset="0"/>
            </a:rPr>
            <a:t>         Prob &gt; chi2(11)          =    0.2154</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Since the 6x6 interactions fit the 7x7 full dataset actual data (the saturated model) well, he concludes that it is reasonable to contract sales and service into one category, and then he does the rest of the analyses with a 6x6 dataset.</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What I need to do next is shrink the dataset from 7x7=49 cells to 6x6=36 cells, which I do this way:</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a:r>
          <a:br>
            <a:rPr lang="en-US" sz="900" baseline="0">
              <a:latin typeface="Courier New" panose="02070309020205020404" pitchFamily="49" charset="0"/>
              <a:cs typeface="Courier New" panose="02070309020205020404" pitchFamily="49" charset="0"/>
            </a:rPr>
          </a:br>
          <a:r>
            <a:rPr lang="en-US" sz="900" baseline="0">
              <a:latin typeface="Courier New" panose="02070309020205020404" pitchFamily="49" charset="0"/>
              <a:cs typeface="Courier New" panose="02070309020205020404" pitchFamily="49" charset="0"/>
            </a:rPr>
            <a:t>table fathers_occ6 childs_occ6, contents(sum count) replace</a:t>
          </a: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tabulate fathers_occ6 childs_occ6 [fweight=count]</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                            childs_occ6</a:t>
          </a:r>
        </a:p>
        <a:p>
          <a:r>
            <a:rPr lang="en-US" sz="900" baseline="0">
              <a:latin typeface="Courier New" panose="02070309020205020404" pitchFamily="49" charset="0"/>
              <a:cs typeface="Courier New" panose="02070309020205020404" pitchFamily="49" charset="0"/>
            </a:rPr>
            <a:t>   fathers_occ6 | professio      cadre   clerical  sales &amp; s     manual  agricultu |     Total</a:t>
          </a: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professional |        57         11          8         39         61         69 |       245 </a:t>
          </a:r>
        </a:p>
        <a:p>
          <a:r>
            <a:rPr lang="en-US" sz="900" baseline="0">
              <a:latin typeface="Courier New" panose="02070309020205020404" pitchFamily="49" charset="0"/>
              <a:cs typeface="Courier New" panose="02070309020205020404" pitchFamily="49" charset="0"/>
            </a:rPr>
            <a:t>          cadre |        36         13         17         22         35         31 |       154 </a:t>
          </a:r>
        </a:p>
        <a:p>
          <a:r>
            <a:rPr lang="en-US" sz="900" baseline="0">
              <a:latin typeface="Courier New" panose="02070309020205020404" pitchFamily="49" charset="0"/>
              <a:cs typeface="Courier New" panose="02070309020205020404" pitchFamily="49" charset="0"/>
            </a:rPr>
            <a:t>       clerical |        14          4          8          8         22         16 |        72 </a:t>
          </a:r>
        </a:p>
        <a:p>
          <a:r>
            <a:rPr lang="en-US" sz="900" baseline="0">
              <a:latin typeface="Courier New" panose="02070309020205020404" pitchFamily="49" charset="0"/>
              <a:cs typeface="Courier New" panose="02070309020205020404" pitchFamily="49" charset="0"/>
            </a:rPr>
            <a:t>sales &amp; service |        19         14          6         49         40         30 |       158 </a:t>
          </a:r>
        </a:p>
        <a:p>
          <a:r>
            <a:rPr lang="en-US" sz="900" baseline="0">
              <a:latin typeface="Courier New" panose="02070309020205020404" pitchFamily="49" charset="0"/>
              <a:cs typeface="Courier New" panose="02070309020205020404" pitchFamily="49" charset="0"/>
            </a:rPr>
            <a:t>         manual |        46         22         23         76        236        124 |       527 </a:t>
          </a:r>
        </a:p>
        <a:p>
          <a:r>
            <a:rPr lang="en-US" sz="900" baseline="0">
              <a:latin typeface="Courier New" panose="02070309020205020404" pitchFamily="49" charset="0"/>
              <a:cs typeface="Courier New" panose="02070309020205020404" pitchFamily="49" charset="0"/>
            </a:rPr>
            <a:t>   agricultural |       131         61         43        199        416      2,495 |     3,345 </a:t>
          </a: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Total |       303        125        105        393        810      2,765 |     4,501 </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*OK, now we are ready to fit some models.</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First, the independence model:</a:t>
          </a:r>
        </a:p>
        <a:p>
          <a:r>
            <a:rPr lang="en-US" sz="900" baseline="0">
              <a:latin typeface="Courier New" panose="02070309020205020404" pitchFamily="49" charset="0"/>
              <a:cs typeface="Courier New" panose="02070309020205020404" pitchFamily="49" charset="0"/>
            </a:rPr>
            <a:t>. poisson count i.fathers_occ6 i.childs_occ6</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Iteration 0:   log likelihood = -2105.4244  </a:t>
          </a:r>
        </a:p>
        <a:p>
          <a:r>
            <a:rPr lang="en-US" sz="900" baseline="0">
              <a:latin typeface="Courier New" panose="02070309020205020404" pitchFamily="49" charset="0"/>
              <a:cs typeface="Courier New" panose="02070309020205020404" pitchFamily="49" charset="0"/>
            </a:rPr>
            <a:t>Iteration 1:   log likelihood = -855.51253  </a:t>
          </a:r>
        </a:p>
        <a:p>
          <a:r>
            <a:rPr lang="en-US" sz="900" baseline="0">
              <a:latin typeface="Courier New" panose="02070309020205020404" pitchFamily="49" charset="0"/>
              <a:cs typeface="Courier New" panose="02070309020205020404" pitchFamily="49" charset="0"/>
            </a:rPr>
            <a:t>Iteration 2:   log likelihood = -638.07578  </a:t>
          </a:r>
        </a:p>
        <a:p>
          <a:r>
            <a:rPr lang="en-US" sz="900" baseline="0">
              <a:latin typeface="Courier New" panose="02070309020205020404" pitchFamily="49" charset="0"/>
              <a:cs typeface="Courier New" panose="02070309020205020404" pitchFamily="49" charset="0"/>
            </a:rPr>
            <a:t>Iteration 3:   log likelihood = -635.36338  </a:t>
          </a:r>
        </a:p>
        <a:p>
          <a:r>
            <a:rPr lang="en-US" sz="900" baseline="0">
              <a:latin typeface="Courier New" panose="02070309020205020404" pitchFamily="49" charset="0"/>
              <a:cs typeface="Courier New" panose="02070309020205020404" pitchFamily="49" charset="0"/>
            </a:rPr>
            <a:t>Iteration 4:   log likelihood = -635.35818  </a:t>
          </a:r>
        </a:p>
        <a:p>
          <a:r>
            <a:rPr lang="en-US" sz="900" baseline="0">
              <a:latin typeface="Courier New" panose="02070309020205020404" pitchFamily="49" charset="0"/>
              <a:cs typeface="Courier New" panose="02070309020205020404" pitchFamily="49" charset="0"/>
            </a:rPr>
            <a:t>Iteration 5:   log likelihood = -635.35818  </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Poisson regression                                Number of obs   =         36</a:t>
          </a:r>
        </a:p>
        <a:p>
          <a:r>
            <a:rPr lang="en-US" sz="900" baseline="0">
              <a:latin typeface="Courier New" panose="02070309020205020404" pitchFamily="49" charset="0"/>
              <a:cs typeface="Courier New" panose="02070309020205020404" pitchFamily="49" charset="0"/>
            </a:rPr>
            <a:t>                                                  LR chi2(10)     =   13182.95</a:t>
          </a:r>
        </a:p>
        <a:p>
          <a:r>
            <a:rPr lang="en-US" sz="900" baseline="0">
              <a:latin typeface="Courier New" panose="02070309020205020404" pitchFamily="49" charset="0"/>
              <a:cs typeface="Courier New" panose="02070309020205020404" pitchFamily="49" charset="0"/>
            </a:rPr>
            <a:t>                                                  Prob &gt; chi2     =     0.0000</a:t>
          </a:r>
        </a:p>
        <a:p>
          <a:r>
            <a:rPr lang="en-US" sz="900" baseline="0">
              <a:latin typeface="Courier New" panose="02070309020205020404" pitchFamily="49" charset="0"/>
              <a:cs typeface="Courier New" panose="02070309020205020404" pitchFamily="49" charset="0"/>
            </a:rPr>
            <a:t>Log likelihood = -635.35818                       Pseudo R2       =     0.9121</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count |      Coef.   Std. Err.      z    P&gt;|z|     [95% Conf. Interval]</a:t>
          </a: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fathers_occ6 |</a:t>
          </a:r>
        </a:p>
        <a:p>
          <a:r>
            <a:rPr lang="en-US" sz="900" baseline="0">
              <a:latin typeface="Courier New" panose="02070309020205020404" pitchFamily="49" charset="0"/>
              <a:cs typeface="Courier New" panose="02070309020205020404" pitchFamily="49" charset="0"/>
            </a:rPr>
            <a:t>          cadre  |  -.4643056   .1028355    -4.52   0.000    -.6658595   -.2627517</a:t>
          </a:r>
        </a:p>
        <a:p>
          <a:r>
            <a:rPr lang="en-US" sz="900" baseline="0">
              <a:latin typeface="Courier New" panose="02070309020205020404" pitchFamily="49" charset="0"/>
              <a:cs typeface="Courier New" panose="02070309020205020404" pitchFamily="49" charset="0"/>
            </a:rPr>
            <a:t>       clerical  |  -1.224592   .1340542    -9.14   0.000    -1.487333   -.9618507</a:t>
          </a:r>
        </a:p>
        <a:p>
          <a:r>
            <a:rPr lang="en-US" sz="900" baseline="0">
              <a:latin typeface="Courier New" panose="02070309020205020404" pitchFamily="49" charset="0"/>
              <a:cs typeface="Courier New" panose="02070309020205020404" pitchFamily="49" charset="0"/>
            </a:rPr>
            <a:t>sales &amp; service  |  -.4386632   .1020331    -4.30   0.000    -.6386443    -.238682</a:t>
          </a:r>
        </a:p>
        <a:p>
          <a:r>
            <a:rPr lang="en-US" sz="900" baseline="0">
              <a:latin typeface="Courier New" panose="02070309020205020404" pitchFamily="49" charset="0"/>
              <a:cs typeface="Courier New" panose="02070309020205020404" pitchFamily="49" charset="0"/>
            </a:rPr>
            <a:t>         manual  |   .7659423   .0773251     9.91   0.000      .614388    .9174967</a:t>
          </a:r>
        </a:p>
        <a:p>
          <a:r>
            <a:rPr lang="en-US" sz="900" baseline="0">
              <a:latin typeface="Courier New" panose="02070309020205020404" pitchFamily="49" charset="0"/>
              <a:cs typeface="Courier New" panose="02070309020205020404" pitchFamily="49" charset="0"/>
            </a:rPr>
            <a:t>   agricultural  |   2.613964    .066186    39.49   0.000     2.484242    2.743686</a:t>
          </a:r>
        </a:p>
        <a:p>
          <a:r>
            <a:rPr lang="en-US" sz="900" baseline="0">
              <a:latin typeface="Courier New" panose="02070309020205020404" pitchFamily="49" charset="0"/>
              <a:cs typeface="Courier New" panose="02070309020205020404" pitchFamily="49" charset="0"/>
            </a:rPr>
            <a:t>                 |</a:t>
          </a:r>
        </a:p>
        <a:p>
          <a:r>
            <a:rPr lang="en-US" sz="900" baseline="0">
              <a:latin typeface="Courier New" panose="02070309020205020404" pitchFamily="49" charset="0"/>
              <a:cs typeface="Courier New" panose="02070309020205020404" pitchFamily="49" charset="0"/>
            </a:rPr>
            <a:t>     childs_occ6 |</a:t>
          </a:r>
        </a:p>
        <a:p>
          <a:r>
            <a:rPr lang="en-US" sz="900" baseline="0">
              <a:latin typeface="Courier New" panose="02070309020205020404" pitchFamily="49" charset="0"/>
              <a:cs typeface="Courier New" panose="02070309020205020404" pitchFamily="49" charset="0"/>
            </a:rPr>
            <a:t>          cadre  |  -.8854191    .106303    -8.33   0.000    -1.093769    -.677069</a:t>
          </a:r>
        </a:p>
        <a:p>
          <a:r>
            <a:rPr lang="en-US" sz="900" baseline="0">
              <a:latin typeface="Courier New" panose="02070309020205020404" pitchFamily="49" charset="0"/>
              <a:cs typeface="Courier New" panose="02070309020205020404" pitchFamily="49" charset="0"/>
            </a:rPr>
            <a:t>       clerical  |  -1.059772   .1132437    -9.36   0.000    -1.281726   -.8378188</a:t>
          </a:r>
        </a:p>
        <a:p>
          <a:r>
            <a:rPr lang="en-US" sz="900" baseline="0">
              <a:latin typeface="Courier New" panose="02070309020205020404" pitchFamily="49" charset="0"/>
              <a:cs typeface="Courier New" panose="02070309020205020404" pitchFamily="49" charset="0"/>
            </a:rPr>
            <a:t>sales &amp; service  |   .2600768   .0764517     3.40   0.001     .1102343    .4099193</a:t>
          </a:r>
        </a:p>
        <a:p>
          <a:r>
            <a:rPr lang="en-US" sz="900" baseline="0">
              <a:latin typeface="Courier New" panose="02070309020205020404" pitchFamily="49" charset="0"/>
              <a:cs typeface="Courier New" panose="02070309020205020404" pitchFamily="49" charset="0"/>
            </a:rPr>
            <a:t>         manual  |   .9833014   .0673417    14.60   0.000     .8513142    1.115289</a:t>
          </a:r>
        </a:p>
        <a:p>
          <a:r>
            <a:rPr lang="en-US" sz="900" baseline="0">
              <a:latin typeface="Courier New" panose="02070309020205020404" pitchFamily="49" charset="0"/>
              <a:cs typeface="Courier New" panose="02070309020205020404" pitchFamily="49" charset="0"/>
            </a:rPr>
            <a:t>   agricultural  |   2.211063   .0605144    36.54   0.000     2.092457    2.329669</a:t>
          </a:r>
        </a:p>
        <a:p>
          <a:r>
            <a:rPr lang="en-US" sz="900" baseline="0">
              <a:latin typeface="Courier New" panose="02070309020205020404" pitchFamily="49" charset="0"/>
              <a:cs typeface="Courier New" panose="02070309020205020404" pitchFamily="49" charset="0"/>
            </a:rPr>
            <a:t>                 |</a:t>
          </a:r>
        </a:p>
        <a:p>
          <a:r>
            <a:rPr lang="en-US" sz="900" baseline="0">
              <a:latin typeface="Courier New" panose="02070309020205020404" pitchFamily="49" charset="0"/>
              <a:cs typeface="Courier New" panose="02070309020205020404" pitchFamily="49" charset="0"/>
            </a:rPr>
            <a:t>           _cons |   2.802936   .0846155    33.13   0.000     2.637093     2.96878</a:t>
          </a:r>
        </a:p>
        <a:p>
          <a:r>
            <a:rPr lang="en-US" sz="900" baseline="0">
              <a:latin typeface="Courier New" panose="02070309020205020404" pitchFamily="49" charset="0"/>
              <a:cs typeface="Courier New" panose="02070309020205020404" pitchFamily="49" charset="0"/>
            </a:rPr>
            <a:t>----------------------------------------------------------------------------------</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poisgof</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Deviance goodness-of-fit =  1075.693</a:t>
          </a:r>
        </a:p>
        <a:p>
          <a:r>
            <a:rPr lang="en-US" sz="900" baseline="0">
              <a:latin typeface="Courier New" panose="02070309020205020404" pitchFamily="49" charset="0"/>
              <a:cs typeface="Courier New" panose="02070309020205020404" pitchFamily="49" charset="0"/>
            </a:rPr>
            <a:t>         Prob &gt; chi2(25)          =    0.0000</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Pearson goodness-of-fit  =  1203.742</a:t>
          </a:r>
        </a:p>
        <a:p>
          <a:r>
            <a:rPr lang="en-US" sz="900" baseline="0">
              <a:latin typeface="Courier New" panose="02070309020205020404" pitchFamily="49" charset="0"/>
              <a:cs typeface="Courier New" panose="02070309020205020404" pitchFamily="49" charset="0"/>
            </a:rPr>
            <a:t>         Prob &gt; chi2(25)          =    0.0000</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Now to generate the Index of dissimilarity, or sum across all cells of (50/N)(abs(actual-predicted))</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predict indep_model</a:t>
          </a:r>
        </a:p>
        <a:p>
          <a:r>
            <a:rPr lang="en-US" sz="900" baseline="0">
              <a:latin typeface="Courier New" panose="02070309020205020404" pitchFamily="49" charset="0"/>
              <a:cs typeface="Courier New" panose="02070309020205020404" pitchFamily="49" charset="0"/>
            </a:rPr>
            <a:t>(option n assumed; predicted number of events)</a:t>
          </a: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US" sz="900" baseline="0">
              <a:latin typeface="Courier New" panose="02070309020205020404" pitchFamily="49" charset="0"/>
              <a:cs typeface="Courier New" panose="02070309020205020404" pitchFamily="49" charset="0"/>
            </a:rPr>
            <a:t>* Where does the independence model fit the data? Why, in the marginal distribution of course! And every subsequent model will also fit the marginals exactly, because every subsequent model also has </a:t>
          </a:r>
          <a:r>
            <a:rPr lang="en-US" sz="900" b="1" baseline="0">
              <a:solidFill>
                <a:schemeClr val="dk1"/>
              </a:solidFill>
              <a:effectLst/>
              <a:latin typeface="Courier New" panose="02070309020205020404" pitchFamily="49" charset="0"/>
              <a:ea typeface="+mn-ea"/>
              <a:cs typeface="Courier New" panose="02070309020205020404" pitchFamily="49" charset="0"/>
            </a:rPr>
            <a:t>i.fathers_occ6 and </a:t>
          </a:r>
          <a:r>
            <a:rPr lang="en-US" sz="900" baseline="0">
              <a:solidFill>
                <a:schemeClr val="dk1"/>
              </a:solidFill>
              <a:effectLst/>
              <a:latin typeface="Courier New" panose="02070309020205020404" pitchFamily="49" charset="0"/>
              <a:ea typeface="+mn-ea"/>
              <a:cs typeface="Courier New" panose="02070309020205020404" pitchFamily="49" charset="0"/>
            </a:rPr>
            <a:t> </a:t>
          </a:r>
          <a:r>
            <a:rPr lang="en-US" sz="900" b="1" baseline="0">
              <a:solidFill>
                <a:schemeClr val="dk1"/>
              </a:solidFill>
              <a:effectLst/>
              <a:latin typeface="Courier New" panose="02070309020205020404" pitchFamily="49" charset="0"/>
              <a:ea typeface="+mn-ea"/>
              <a:cs typeface="Courier New" panose="02070309020205020404" pitchFamily="49" charset="0"/>
            </a:rPr>
            <a:t>i.childs_occ6 </a:t>
          </a:r>
          <a:r>
            <a:rPr lang="en-US" sz="900" b="0" baseline="0">
              <a:solidFill>
                <a:schemeClr val="dk1"/>
              </a:solidFill>
              <a:effectLst/>
              <a:latin typeface="Courier New" panose="02070309020205020404" pitchFamily="49" charset="0"/>
              <a:ea typeface="+mn-ea"/>
              <a:cs typeface="Courier New" panose="02070309020205020404" pitchFamily="49" charset="0"/>
            </a:rPr>
            <a:t>in the predictor variable set. Fitting the interior cells exactly does not happen in most of the models that follow, but see quasi-independence below, which fits the main diagonal exactly.</a:t>
          </a:r>
          <a:endParaRPr lang="en-US" sz="900" b="0">
            <a:effectLst/>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table fathers_occ6 childs_occ6, contents(sum count sum indep_model) row col cellwidth(8)</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                             childs_occ6                             </a:t>
          </a:r>
        </a:p>
        <a:p>
          <a:r>
            <a:rPr lang="en-US" sz="900" baseline="0">
              <a:latin typeface="Courier New" panose="02070309020205020404" pitchFamily="49" charset="0"/>
              <a:cs typeface="Courier New" panose="02070309020205020404" pitchFamily="49" charset="0"/>
            </a:rPr>
            <a:t>   fathers_occ6 | professi     cadre  clerical  sales &amp;     manual  agricult     Total</a:t>
          </a: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professional |       57        11         8        39        61        69       245</a:t>
          </a:r>
        </a:p>
        <a:p>
          <a:r>
            <a:rPr lang="en-US" sz="900" baseline="0">
              <a:latin typeface="Courier New" panose="02070309020205020404" pitchFamily="49" charset="0"/>
              <a:cs typeface="Courier New" panose="02070309020205020404" pitchFamily="49" charset="0"/>
            </a:rPr>
            <a:t>                |   16.493   6.80404    5.7154   21.3919   44.0902   150.505       245</a:t>
          </a:r>
        </a:p>
        <a:p>
          <a:r>
            <a:rPr lang="en-US" sz="900" baseline="0">
              <a:latin typeface="Courier New" panose="02070309020205020404" pitchFamily="49" charset="0"/>
              <a:cs typeface="Courier New" panose="02070309020205020404" pitchFamily="49" charset="0"/>
            </a:rPr>
            <a:t>                | </a:t>
          </a:r>
        </a:p>
        <a:p>
          <a:r>
            <a:rPr lang="en-US" sz="900" baseline="0">
              <a:latin typeface="Courier New" panose="02070309020205020404" pitchFamily="49" charset="0"/>
              <a:cs typeface="Courier New" panose="02070309020205020404" pitchFamily="49" charset="0"/>
            </a:rPr>
            <a:t>          cadre |       36        13        17        22        35        31       154</a:t>
          </a:r>
        </a:p>
        <a:p>
          <a:r>
            <a:rPr lang="en-US" sz="900" baseline="0">
              <a:latin typeface="Courier New" panose="02070309020205020404" pitchFamily="49" charset="0"/>
              <a:cs typeface="Courier New" panose="02070309020205020404" pitchFamily="49" charset="0"/>
            </a:rPr>
            <a:t>                |   10.367   4.27683   3.59254   13.4463   27.7138   94.6034       154</a:t>
          </a:r>
        </a:p>
        <a:p>
          <a:r>
            <a:rPr lang="en-US" sz="900" baseline="0">
              <a:latin typeface="Courier New" panose="02070309020205020404" pitchFamily="49" charset="0"/>
              <a:cs typeface="Courier New" panose="02070309020205020404" pitchFamily="49" charset="0"/>
            </a:rPr>
            <a:t>                | </a:t>
          </a:r>
        </a:p>
        <a:p>
          <a:r>
            <a:rPr lang="en-US" sz="900" baseline="0">
              <a:latin typeface="Courier New" panose="02070309020205020404" pitchFamily="49" charset="0"/>
              <a:cs typeface="Courier New" panose="02070309020205020404" pitchFamily="49" charset="0"/>
            </a:rPr>
            <a:t>       clerical |       14         4         8         8        22        16        72</a:t>
          </a:r>
        </a:p>
        <a:p>
          <a:r>
            <a:rPr lang="en-US" sz="900" baseline="0">
              <a:latin typeface="Courier New" panose="02070309020205020404" pitchFamily="49" charset="0"/>
              <a:cs typeface="Courier New" panose="02070309020205020404" pitchFamily="49" charset="0"/>
            </a:rPr>
            <a:t>                |  4.84692   1.99956   1.67963    6.2866   12.9571   44.2302        72</a:t>
          </a:r>
        </a:p>
        <a:p>
          <a:r>
            <a:rPr lang="en-US" sz="900" baseline="0">
              <a:latin typeface="Courier New" panose="02070309020205020404" pitchFamily="49" charset="0"/>
              <a:cs typeface="Courier New" panose="02070309020205020404" pitchFamily="49" charset="0"/>
            </a:rPr>
            <a:t>                | </a:t>
          </a:r>
        </a:p>
        <a:p>
          <a:r>
            <a:rPr lang="en-US" sz="900" baseline="0">
              <a:latin typeface="Courier New" panose="02070309020205020404" pitchFamily="49" charset="0"/>
              <a:cs typeface="Courier New" panose="02070309020205020404" pitchFamily="49" charset="0"/>
            </a:rPr>
            <a:t>sales &amp; service |       19        14         6        49        40        30       158</a:t>
          </a:r>
        </a:p>
        <a:p>
          <a:r>
            <a:rPr lang="en-US" sz="900" baseline="0">
              <a:latin typeface="Courier New" panose="02070309020205020404" pitchFamily="49" charset="0"/>
              <a:cs typeface="Courier New" panose="02070309020205020404" pitchFamily="49" charset="0"/>
            </a:rPr>
            <a:t>                |  10.6363   4.38791   3.68585   13.7956   28.4337   97.0607       158</a:t>
          </a:r>
        </a:p>
        <a:p>
          <a:r>
            <a:rPr lang="en-US" sz="900" baseline="0">
              <a:latin typeface="Courier New" panose="02070309020205020404" pitchFamily="49" charset="0"/>
              <a:cs typeface="Courier New" panose="02070309020205020404" pitchFamily="49" charset="0"/>
            </a:rPr>
            <a:t>                | </a:t>
          </a:r>
        </a:p>
        <a:p>
          <a:r>
            <a:rPr lang="en-US" sz="900" baseline="0">
              <a:latin typeface="Courier New" panose="02070309020205020404" pitchFamily="49" charset="0"/>
              <a:cs typeface="Courier New" panose="02070309020205020404" pitchFamily="49" charset="0"/>
            </a:rPr>
            <a:t>         manual |       46        22        23        76       236       124       527</a:t>
          </a:r>
        </a:p>
        <a:p>
          <a:r>
            <a:rPr lang="en-US" sz="900" baseline="0">
              <a:latin typeface="Courier New" panose="02070309020205020404" pitchFamily="49" charset="0"/>
              <a:cs typeface="Courier New" panose="02070309020205020404" pitchFamily="49" charset="0"/>
            </a:rPr>
            <a:t>                |  35.4768   14.6356   12.2939   46.0144   94.8389    323.74       527</a:t>
          </a:r>
        </a:p>
        <a:p>
          <a:r>
            <a:rPr lang="en-US" sz="900" baseline="0">
              <a:latin typeface="Courier New" panose="02070309020205020404" pitchFamily="49" charset="0"/>
              <a:cs typeface="Courier New" panose="02070309020205020404" pitchFamily="49" charset="0"/>
            </a:rPr>
            <a:t>                | </a:t>
          </a:r>
        </a:p>
        <a:p>
          <a:r>
            <a:rPr lang="en-US" sz="900" baseline="0">
              <a:latin typeface="Courier New" panose="02070309020205020404" pitchFamily="49" charset="0"/>
              <a:cs typeface="Courier New" panose="02070309020205020404" pitchFamily="49" charset="0"/>
            </a:rPr>
            <a:t>   agricultural |      131        61        43       199       416      2495      3345</a:t>
          </a:r>
        </a:p>
        <a:p>
          <a:r>
            <a:rPr lang="en-US" sz="900" baseline="0">
              <a:latin typeface="Courier New" panose="02070309020205020404" pitchFamily="49" charset="0"/>
              <a:cs typeface="Courier New" panose="02070309020205020404" pitchFamily="49" charset="0"/>
            </a:rPr>
            <a:t>                |   225.18    92.896   78.0327   292.065   601.966   2054.86      3345</a:t>
          </a:r>
        </a:p>
        <a:p>
          <a:r>
            <a:rPr lang="en-US" sz="900" baseline="0">
              <a:latin typeface="Courier New" panose="02070309020205020404" pitchFamily="49" charset="0"/>
              <a:cs typeface="Courier New" panose="02070309020205020404" pitchFamily="49" charset="0"/>
            </a:rPr>
            <a:t>                | </a:t>
          </a:r>
        </a:p>
        <a:p>
          <a:r>
            <a:rPr lang="en-US" sz="900" baseline="0">
              <a:latin typeface="Courier New" panose="02070309020205020404" pitchFamily="49" charset="0"/>
              <a:cs typeface="Courier New" panose="02070309020205020404" pitchFamily="49" charset="0"/>
            </a:rPr>
            <a:t>          Total |      303       125       105       393       810      2765      4501</a:t>
          </a:r>
        </a:p>
        <a:p>
          <a:r>
            <a:rPr lang="en-US" sz="900" baseline="0">
              <a:latin typeface="Courier New" panose="02070309020205020404" pitchFamily="49" charset="0"/>
              <a:cs typeface="Courier New" panose="02070309020205020404" pitchFamily="49" charset="0"/>
            </a:rPr>
            <a:t>                |      303       125       105       393       810      2765      4501</a:t>
          </a:r>
        </a:p>
        <a:p>
          <a:r>
            <a:rPr lang="en-US" sz="900" baseline="0">
              <a:latin typeface="Courier New" panose="02070309020205020404" pitchFamily="49" charset="0"/>
              <a:cs typeface="Courier New" panose="02070309020205020404" pitchFamily="49" charset="0"/>
            </a:rPr>
            <a:t>--------------------------------------------------------------------------------------</a:t>
          </a: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gen ID_indep=(50/4501)*(abs(count- indep_model))</a:t>
          </a: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table fathers_occ6 childs_occ6, contents(sum ID_indep) row col cellwidth(8)</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note: cellwidth too small, variable name truncated;</a:t>
          </a:r>
        </a:p>
        <a:p>
          <a:r>
            <a:rPr lang="en-US" sz="900" baseline="0">
              <a:latin typeface="Courier New" panose="02070309020205020404" pitchFamily="49" charset="0"/>
              <a:cs typeface="Courier New" panose="02070309020205020404" pitchFamily="49" charset="0"/>
            </a:rPr>
            <a:t>      to increase cellwidth, specify cellwidth(#)</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                             childs_occ6                             </a:t>
          </a:r>
        </a:p>
        <a:p>
          <a:r>
            <a:rPr lang="en-US" sz="900" baseline="0">
              <a:latin typeface="Courier New" panose="02070309020205020404" pitchFamily="49" charset="0"/>
              <a:cs typeface="Courier New" panose="02070309020205020404" pitchFamily="49" charset="0"/>
            </a:rPr>
            <a:t>   fathers_occ6 | professi     cadre  clerical  sales &amp;     manual  agricult     Total</a:t>
          </a: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professional |  .449978   .046611   .025379   .195602   .187845   .905415   1.81083</a:t>
          </a:r>
        </a:p>
        <a:p>
          <a:r>
            <a:rPr lang="en-US" sz="900" baseline="0">
              <a:latin typeface="Courier New" panose="02070309020205020404" pitchFamily="49" charset="0"/>
              <a:cs typeface="Courier New" panose="02070309020205020404" pitchFamily="49" charset="0"/>
            </a:rPr>
            <a:t>          cadre |  .284748   .096903   .148939   .095019   .080939   .706548    1.4131</a:t>
          </a:r>
        </a:p>
        <a:p>
          <a:r>
            <a:rPr lang="en-US" sz="900" baseline="0">
              <a:latin typeface="Courier New" panose="02070309020205020404" pitchFamily="49" charset="0"/>
              <a:cs typeface="Courier New" panose="02070309020205020404" pitchFamily="49" charset="0"/>
            </a:rPr>
            <a:t>       clerical |  .101678   .022222   .070211   .019034   .100454   .313599   .627198</a:t>
          </a:r>
        </a:p>
        <a:p>
          <a:r>
            <a:rPr lang="en-US" sz="900" baseline="0">
              <a:latin typeface="Courier New" panose="02070309020205020404" pitchFamily="49" charset="0"/>
              <a:cs typeface="Courier New" panose="02070309020205020404" pitchFamily="49" charset="0"/>
            </a:rPr>
            <a:t>sales &amp; service |  .092909   .106777   .025707   .391073   .128486   .744953   1.48991</a:t>
          </a:r>
        </a:p>
        <a:p>
          <a:r>
            <a:rPr lang="en-US" sz="900" baseline="0">
              <a:latin typeface="Courier New" panose="02070309020205020404" pitchFamily="49" charset="0"/>
              <a:cs typeface="Courier New" panose="02070309020205020404" pitchFamily="49" charset="0"/>
            </a:rPr>
            <a:t>         manual |  .116899   .081808    .11893   .333099   1.56811   2.21884   4.43769</a:t>
          </a:r>
        </a:p>
        <a:p>
          <a:r>
            <a:rPr lang="en-US" sz="900" baseline="0">
              <a:latin typeface="Courier New" panose="02070309020205020404" pitchFamily="49" charset="0"/>
              <a:cs typeface="Courier New" panose="02070309020205020404" pitchFamily="49" charset="0"/>
            </a:rPr>
            <a:t>   agricultural |  1.04621   .354322   .389165   1.03383   2.06583   4.88936   9.77871</a:t>
          </a:r>
        </a:p>
        <a:p>
          <a:r>
            <a:rPr lang="en-US" sz="900" baseline="0">
              <a:latin typeface="Courier New" panose="02070309020205020404" pitchFamily="49" charset="0"/>
              <a:cs typeface="Courier New" panose="02070309020205020404" pitchFamily="49" charset="0"/>
            </a:rPr>
            <a:t>                | </a:t>
          </a:r>
        </a:p>
        <a:p>
          <a:r>
            <a:rPr lang="en-US" sz="900" baseline="0">
              <a:latin typeface="Courier New" panose="02070309020205020404" pitchFamily="49" charset="0"/>
              <a:cs typeface="Courier New" panose="02070309020205020404" pitchFamily="49" charset="0"/>
            </a:rPr>
            <a:t>          Total |  2.09242   .708643   .778331   2.06765   4.13166   9.77871   19.5574</a:t>
          </a:r>
        </a:p>
        <a:p>
          <a:r>
            <a:rPr lang="en-US" sz="900" baseline="0">
              <a:latin typeface="Courier New" panose="02070309020205020404" pitchFamily="49" charset="0"/>
              <a:cs typeface="Courier New" panose="02070309020205020404" pitchFamily="49" charset="0"/>
            </a:rPr>
            <a:t>--------------------------------------------------------------------------------------</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The sum across all cells, or 19.56, is our ID.</a:t>
          </a: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*Now I am going to generate the crossing parameters described by Treiman:</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gen c1=0</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replace c1 =1 if (fathers_occ6==1 &amp; childs_occ6&gt;1) | (childs_occ6==1 &amp; fathers_occ6&gt;1)</a:t>
          </a:r>
        </a:p>
        <a:p>
          <a:r>
            <a:rPr lang="en-US" sz="900" baseline="0">
              <a:latin typeface="Courier New" panose="02070309020205020404" pitchFamily="49" charset="0"/>
              <a:cs typeface="Courier New" panose="02070309020205020404" pitchFamily="49" charset="0"/>
            </a:rPr>
            <a:t>(10 real changes made)</a:t>
          </a: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table fathers_occ6 childs_occ6, contents(mean c1) cellwidth(8)</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                        childs_occ6                        </a:t>
          </a:r>
        </a:p>
        <a:p>
          <a:r>
            <a:rPr lang="en-US" sz="900" baseline="0">
              <a:latin typeface="Courier New" panose="02070309020205020404" pitchFamily="49" charset="0"/>
              <a:cs typeface="Courier New" panose="02070309020205020404" pitchFamily="49" charset="0"/>
            </a:rPr>
            <a:t>   fathers_occ6 | professi     cadre  clerical  sales &amp;     manual  agricult</a:t>
          </a: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professional |        0         1         1         1         1         1</a:t>
          </a:r>
        </a:p>
        <a:p>
          <a:r>
            <a:rPr lang="en-US" sz="900" baseline="0">
              <a:latin typeface="Courier New" panose="02070309020205020404" pitchFamily="49" charset="0"/>
              <a:cs typeface="Courier New" panose="02070309020205020404" pitchFamily="49" charset="0"/>
            </a:rPr>
            <a:t>          cadre |        1         0         0         0         0         0</a:t>
          </a:r>
        </a:p>
        <a:p>
          <a:r>
            <a:rPr lang="en-US" sz="900" baseline="0">
              <a:latin typeface="Courier New" panose="02070309020205020404" pitchFamily="49" charset="0"/>
              <a:cs typeface="Courier New" panose="02070309020205020404" pitchFamily="49" charset="0"/>
            </a:rPr>
            <a:t>       clerical |        1         0         0         0         0         0</a:t>
          </a:r>
        </a:p>
        <a:p>
          <a:r>
            <a:rPr lang="en-US" sz="900" baseline="0">
              <a:latin typeface="Courier New" panose="02070309020205020404" pitchFamily="49" charset="0"/>
              <a:cs typeface="Courier New" panose="02070309020205020404" pitchFamily="49" charset="0"/>
            </a:rPr>
            <a:t>sales &amp; service |        1         0         0         0         0         0</a:t>
          </a:r>
        </a:p>
        <a:p>
          <a:r>
            <a:rPr lang="en-US" sz="900" baseline="0">
              <a:latin typeface="Courier New" panose="02070309020205020404" pitchFamily="49" charset="0"/>
              <a:cs typeface="Courier New" panose="02070309020205020404" pitchFamily="49" charset="0"/>
            </a:rPr>
            <a:t>         manual |        1         0         0         0         0         0</a:t>
          </a:r>
        </a:p>
        <a:p>
          <a:r>
            <a:rPr lang="en-US" sz="900" baseline="0">
              <a:latin typeface="Courier New" panose="02070309020205020404" pitchFamily="49" charset="0"/>
              <a:cs typeface="Courier New" panose="02070309020205020404" pitchFamily="49" charset="0"/>
            </a:rPr>
            <a:t>   agricultural |        1         0         0         0         0         0</a:t>
          </a:r>
        </a:p>
        <a:p>
          <a:r>
            <a:rPr lang="en-US" sz="900" baseline="0">
              <a:latin typeface="Courier New" panose="02070309020205020404" pitchFamily="49" charset="0"/>
              <a:cs typeface="Courier New" panose="02070309020205020404" pitchFamily="49" charset="0"/>
            </a:rPr>
            <a:t>----------------------------------------------------------------------------</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The rest of the crossing parameters look like this:</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gen c2=0</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replace c2 =1 if (fathers_occ6&lt;=2 &amp; childs_occ6&gt;2) | (childs_occ6&lt;=2 &amp; fathers_occ6&gt;2)</a:t>
          </a:r>
        </a:p>
        <a:p>
          <a:r>
            <a:rPr lang="en-US" sz="900" baseline="0">
              <a:latin typeface="Courier New" panose="02070309020205020404" pitchFamily="49" charset="0"/>
              <a:cs typeface="Courier New" panose="02070309020205020404" pitchFamily="49" charset="0"/>
            </a:rPr>
            <a:t>(16 real changes made)</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label var c1 "crossing parameter 1"</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gen c3=0</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replace c3 =1 if (fathers_occ6&lt;=3 &amp; childs_occ6&gt;3) | (childs_occ6&lt;=3 &amp; fathers_occ6&gt;3)</a:t>
          </a:r>
        </a:p>
        <a:p>
          <a:r>
            <a:rPr lang="en-US" sz="900" baseline="0">
              <a:latin typeface="Courier New" panose="02070309020205020404" pitchFamily="49" charset="0"/>
              <a:cs typeface="Courier New" panose="02070309020205020404" pitchFamily="49" charset="0"/>
            </a:rPr>
            <a:t>(18 real changes made)</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gen c4=0</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replace c4 =1 if (fathers_occ6&lt;=4 &amp; childs_occ6&gt;4) | (childs_occ6&lt;=4 &amp; fathers_occ6&gt;4)</a:t>
          </a:r>
        </a:p>
        <a:p>
          <a:r>
            <a:rPr lang="en-US" sz="900" baseline="0">
              <a:latin typeface="Courier New" panose="02070309020205020404" pitchFamily="49" charset="0"/>
              <a:cs typeface="Courier New" panose="02070309020205020404" pitchFamily="49" charset="0"/>
            </a:rPr>
            <a:t>(16 real changes made)</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gen c5=0</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replace c5=1 if (fathers_occ6&lt;=5 &amp; childs_occ6&gt;5) | (childs_occ6&lt;=5 &amp; fathers_occ6&gt;5)</a:t>
          </a:r>
        </a:p>
        <a:p>
          <a:r>
            <a:rPr lang="en-US" sz="900" baseline="0">
              <a:latin typeface="Courier New" panose="02070309020205020404" pitchFamily="49" charset="0"/>
              <a:cs typeface="Courier New" panose="02070309020205020404" pitchFamily="49" charset="0"/>
            </a:rPr>
            <a:t>(10 real changes made)</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table fathers_occ6 childs_occ6, contents(mean c1 mean c2 mean c3 mean c4 mean c5) cellwidth(8) nolab</a:t>
          </a:r>
        </a:p>
        <a:p>
          <a:r>
            <a:rPr lang="en-US" sz="900" baseline="0">
              <a:latin typeface="Courier New" panose="02070309020205020404" pitchFamily="49" charset="0"/>
              <a:cs typeface="Courier New" panose="02070309020205020404" pitchFamily="49" charset="0"/>
            </a:rPr>
            <a:t>option nolab not allowed</a:t>
          </a:r>
        </a:p>
        <a:p>
          <a:r>
            <a:rPr lang="en-US" sz="900" baseline="0">
              <a:latin typeface="Courier New" panose="02070309020205020404" pitchFamily="49" charset="0"/>
              <a:cs typeface="Courier New" panose="02070309020205020404" pitchFamily="49" charset="0"/>
            </a:rPr>
            <a:t>r(198);</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table fathers_occ6 childs_occ6, contents(mean c1 mean c2 mean c3 mean c4 mean c5) cellwidth(8)</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                        childs_occ6                        </a:t>
          </a:r>
        </a:p>
        <a:p>
          <a:r>
            <a:rPr lang="en-US" sz="900" baseline="0">
              <a:latin typeface="Courier New" panose="02070309020205020404" pitchFamily="49" charset="0"/>
              <a:cs typeface="Courier New" panose="02070309020205020404" pitchFamily="49" charset="0"/>
            </a:rPr>
            <a:t>   fathers_occ6 | professi     cadre  clerical  sales &amp;     manual  agricult</a:t>
          </a: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professional |        0         1         1         1         1         1</a:t>
          </a:r>
        </a:p>
        <a:p>
          <a:r>
            <a:rPr lang="en-US" sz="900" baseline="0">
              <a:latin typeface="Courier New" panose="02070309020205020404" pitchFamily="49" charset="0"/>
              <a:cs typeface="Courier New" panose="02070309020205020404" pitchFamily="49" charset="0"/>
            </a:rPr>
            <a:t>                |        0         0         1         1         1         1</a:t>
          </a:r>
        </a:p>
        <a:p>
          <a:r>
            <a:rPr lang="en-US" sz="900" baseline="0">
              <a:latin typeface="Courier New" panose="02070309020205020404" pitchFamily="49" charset="0"/>
              <a:cs typeface="Courier New" panose="02070309020205020404" pitchFamily="49" charset="0"/>
            </a:rPr>
            <a:t>                |        0         0         0         1         1         1</a:t>
          </a:r>
        </a:p>
        <a:p>
          <a:r>
            <a:rPr lang="en-US" sz="900" baseline="0">
              <a:latin typeface="Courier New" panose="02070309020205020404" pitchFamily="49" charset="0"/>
              <a:cs typeface="Courier New" panose="02070309020205020404" pitchFamily="49" charset="0"/>
            </a:rPr>
            <a:t>                |        0         0         0         0         1         1</a:t>
          </a:r>
        </a:p>
        <a:p>
          <a:r>
            <a:rPr lang="en-US" sz="900" baseline="0">
              <a:latin typeface="Courier New" panose="02070309020205020404" pitchFamily="49" charset="0"/>
              <a:cs typeface="Courier New" panose="02070309020205020404" pitchFamily="49" charset="0"/>
            </a:rPr>
            <a:t>                |        0         0         0         0         0         1</a:t>
          </a:r>
        </a:p>
        <a:p>
          <a:r>
            <a:rPr lang="en-US" sz="900" baseline="0">
              <a:latin typeface="Courier New" panose="02070309020205020404" pitchFamily="49" charset="0"/>
              <a:cs typeface="Courier New" panose="02070309020205020404" pitchFamily="49" charset="0"/>
            </a:rPr>
            <a:t>                | </a:t>
          </a:r>
        </a:p>
        <a:p>
          <a:r>
            <a:rPr lang="en-US" sz="900" baseline="0">
              <a:latin typeface="Courier New" panose="02070309020205020404" pitchFamily="49" charset="0"/>
              <a:cs typeface="Courier New" panose="02070309020205020404" pitchFamily="49" charset="0"/>
            </a:rPr>
            <a:t>          cadre |        1         0         0         0         0         0</a:t>
          </a:r>
        </a:p>
        <a:p>
          <a:r>
            <a:rPr lang="en-US" sz="900" baseline="0">
              <a:latin typeface="Courier New" panose="02070309020205020404" pitchFamily="49" charset="0"/>
              <a:cs typeface="Courier New" panose="02070309020205020404" pitchFamily="49" charset="0"/>
            </a:rPr>
            <a:t>                |        0         0         1         1         1         1</a:t>
          </a:r>
        </a:p>
        <a:p>
          <a:r>
            <a:rPr lang="en-US" sz="900" baseline="0">
              <a:latin typeface="Courier New" panose="02070309020205020404" pitchFamily="49" charset="0"/>
              <a:cs typeface="Courier New" panose="02070309020205020404" pitchFamily="49" charset="0"/>
            </a:rPr>
            <a:t>                |        0         0         0         1         1         1</a:t>
          </a:r>
        </a:p>
        <a:p>
          <a:r>
            <a:rPr lang="en-US" sz="900" baseline="0">
              <a:latin typeface="Courier New" panose="02070309020205020404" pitchFamily="49" charset="0"/>
              <a:cs typeface="Courier New" panose="02070309020205020404" pitchFamily="49" charset="0"/>
            </a:rPr>
            <a:t>                |        0         0         0         0         1         1</a:t>
          </a:r>
        </a:p>
        <a:p>
          <a:r>
            <a:rPr lang="en-US" sz="900" baseline="0">
              <a:latin typeface="Courier New" panose="02070309020205020404" pitchFamily="49" charset="0"/>
              <a:cs typeface="Courier New" panose="02070309020205020404" pitchFamily="49" charset="0"/>
            </a:rPr>
            <a:t>                |        0         0         0         0         0         1</a:t>
          </a:r>
        </a:p>
        <a:p>
          <a:r>
            <a:rPr lang="en-US" sz="900" baseline="0">
              <a:latin typeface="Courier New" panose="02070309020205020404" pitchFamily="49" charset="0"/>
              <a:cs typeface="Courier New" panose="02070309020205020404" pitchFamily="49" charset="0"/>
            </a:rPr>
            <a:t>                | </a:t>
          </a:r>
        </a:p>
        <a:p>
          <a:r>
            <a:rPr lang="en-US" sz="900" baseline="0">
              <a:latin typeface="Courier New" panose="02070309020205020404" pitchFamily="49" charset="0"/>
              <a:cs typeface="Courier New" panose="02070309020205020404" pitchFamily="49" charset="0"/>
            </a:rPr>
            <a:t>       clerical |        1         0         0         0         0         0</a:t>
          </a:r>
        </a:p>
        <a:p>
          <a:r>
            <a:rPr lang="en-US" sz="900" baseline="0">
              <a:latin typeface="Courier New" panose="02070309020205020404" pitchFamily="49" charset="0"/>
              <a:cs typeface="Courier New" panose="02070309020205020404" pitchFamily="49" charset="0"/>
            </a:rPr>
            <a:t>                |        1         1         0         0         0         0</a:t>
          </a:r>
        </a:p>
        <a:p>
          <a:r>
            <a:rPr lang="en-US" sz="900" baseline="0">
              <a:latin typeface="Courier New" panose="02070309020205020404" pitchFamily="49" charset="0"/>
              <a:cs typeface="Courier New" panose="02070309020205020404" pitchFamily="49" charset="0"/>
            </a:rPr>
            <a:t>                |        0         0         0         1         1         1</a:t>
          </a:r>
        </a:p>
        <a:p>
          <a:r>
            <a:rPr lang="en-US" sz="900" baseline="0">
              <a:latin typeface="Courier New" panose="02070309020205020404" pitchFamily="49" charset="0"/>
              <a:cs typeface="Courier New" panose="02070309020205020404" pitchFamily="49" charset="0"/>
            </a:rPr>
            <a:t>                |        0         0         0         0         1         1</a:t>
          </a:r>
        </a:p>
        <a:p>
          <a:r>
            <a:rPr lang="en-US" sz="900" baseline="0">
              <a:latin typeface="Courier New" panose="02070309020205020404" pitchFamily="49" charset="0"/>
              <a:cs typeface="Courier New" panose="02070309020205020404" pitchFamily="49" charset="0"/>
            </a:rPr>
            <a:t>                |        0         0         0         0         0         1</a:t>
          </a:r>
        </a:p>
        <a:p>
          <a:r>
            <a:rPr lang="en-US" sz="900" baseline="0">
              <a:latin typeface="Courier New" panose="02070309020205020404" pitchFamily="49" charset="0"/>
              <a:cs typeface="Courier New" panose="02070309020205020404" pitchFamily="49" charset="0"/>
            </a:rPr>
            <a:t>                | </a:t>
          </a:r>
        </a:p>
        <a:p>
          <a:r>
            <a:rPr lang="en-US" sz="900" baseline="0">
              <a:latin typeface="Courier New" panose="02070309020205020404" pitchFamily="49" charset="0"/>
              <a:cs typeface="Courier New" panose="02070309020205020404" pitchFamily="49" charset="0"/>
            </a:rPr>
            <a:t>sales &amp; service |        1         0         0         0         0         0</a:t>
          </a:r>
        </a:p>
        <a:p>
          <a:r>
            <a:rPr lang="en-US" sz="900" baseline="0">
              <a:latin typeface="Courier New" panose="02070309020205020404" pitchFamily="49" charset="0"/>
              <a:cs typeface="Courier New" panose="02070309020205020404" pitchFamily="49" charset="0"/>
            </a:rPr>
            <a:t>                |        1         1         0         0         0         0</a:t>
          </a:r>
        </a:p>
        <a:p>
          <a:r>
            <a:rPr lang="en-US" sz="900" baseline="0">
              <a:latin typeface="Courier New" panose="02070309020205020404" pitchFamily="49" charset="0"/>
              <a:cs typeface="Courier New" panose="02070309020205020404" pitchFamily="49" charset="0"/>
            </a:rPr>
            <a:t>                |        1         1         1         0         0         0</a:t>
          </a:r>
        </a:p>
        <a:p>
          <a:r>
            <a:rPr lang="en-US" sz="900" baseline="0">
              <a:latin typeface="Courier New" panose="02070309020205020404" pitchFamily="49" charset="0"/>
              <a:cs typeface="Courier New" panose="02070309020205020404" pitchFamily="49" charset="0"/>
            </a:rPr>
            <a:t>                |        0         0         0         0         1         1</a:t>
          </a:r>
        </a:p>
        <a:p>
          <a:r>
            <a:rPr lang="en-US" sz="900" baseline="0">
              <a:latin typeface="Courier New" panose="02070309020205020404" pitchFamily="49" charset="0"/>
              <a:cs typeface="Courier New" panose="02070309020205020404" pitchFamily="49" charset="0"/>
            </a:rPr>
            <a:t>                |        0         0         0         0         0         1</a:t>
          </a:r>
        </a:p>
        <a:p>
          <a:r>
            <a:rPr lang="en-US" sz="900" baseline="0">
              <a:latin typeface="Courier New" panose="02070309020205020404" pitchFamily="49" charset="0"/>
              <a:cs typeface="Courier New" panose="02070309020205020404" pitchFamily="49" charset="0"/>
            </a:rPr>
            <a:t>                | </a:t>
          </a:r>
        </a:p>
        <a:p>
          <a:r>
            <a:rPr lang="en-US" sz="900" baseline="0">
              <a:latin typeface="Courier New" panose="02070309020205020404" pitchFamily="49" charset="0"/>
              <a:cs typeface="Courier New" panose="02070309020205020404" pitchFamily="49" charset="0"/>
            </a:rPr>
            <a:t>         manual |        1         0         0         0         0         0</a:t>
          </a:r>
        </a:p>
        <a:p>
          <a:r>
            <a:rPr lang="en-US" sz="900" baseline="0">
              <a:latin typeface="Courier New" panose="02070309020205020404" pitchFamily="49" charset="0"/>
              <a:cs typeface="Courier New" panose="02070309020205020404" pitchFamily="49" charset="0"/>
            </a:rPr>
            <a:t>                |        1         1         0         0         0         0</a:t>
          </a:r>
        </a:p>
        <a:p>
          <a:r>
            <a:rPr lang="en-US" sz="900" baseline="0">
              <a:latin typeface="Courier New" panose="02070309020205020404" pitchFamily="49" charset="0"/>
              <a:cs typeface="Courier New" panose="02070309020205020404" pitchFamily="49" charset="0"/>
            </a:rPr>
            <a:t>                |        1         1         1         0         0         0</a:t>
          </a:r>
        </a:p>
        <a:p>
          <a:r>
            <a:rPr lang="en-US" sz="900" baseline="0">
              <a:latin typeface="Courier New" panose="02070309020205020404" pitchFamily="49" charset="0"/>
              <a:cs typeface="Courier New" panose="02070309020205020404" pitchFamily="49" charset="0"/>
            </a:rPr>
            <a:t>                |        1         1         1         1         0         0</a:t>
          </a:r>
        </a:p>
        <a:p>
          <a:r>
            <a:rPr lang="en-US" sz="900" baseline="0">
              <a:latin typeface="Courier New" panose="02070309020205020404" pitchFamily="49" charset="0"/>
              <a:cs typeface="Courier New" panose="02070309020205020404" pitchFamily="49" charset="0"/>
            </a:rPr>
            <a:t>                |        0         0         0         0         0         1</a:t>
          </a:r>
        </a:p>
        <a:p>
          <a:r>
            <a:rPr lang="en-US" sz="900" baseline="0">
              <a:latin typeface="Courier New" panose="02070309020205020404" pitchFamily="49" charset="0"/>
              <a:cs typeface="Courier New" panose="02070309020205020404" pitchFamily="49" charset="0"/>
            </a:rPr>
            <a:t>                | </a:t>
          </a:r>
        </a:p>
        <a:p>
          <a:r>
            <a:rPr lang="en-US" sz="900" baseline="0">
              <a:latin typeface="Courier New" panose="02070309020205020404" pitchFamily="49" charset="0"/>
              <a:cs typeface="Courier New" panose="02070309020205020404" pitchFamily="49" charset="0"/>
            </a:rPr>
            <a:t>   agricultural |        1         0         0         0         0         0</a:t>
          </a:r>
        </a:p>
        <a:p>
          <a:r>
            <a:rPr lang="en-US" sz="900" baseline="0">
              <a:latin typeface="Courier New" panose="02070309020205020404" pitchFamily="49" charset="0"/>
              <a:cs typeface="Courier New" panose="02070309020205020404" pitchFamily="49" charset="0"/>
            </a:rPr>
            <a:t>                |        1         1         0         0         0         0</a:t>
          </a:r>
        </a:p>
        <a:p>
          <a:r>
            <a:rPr lang="en-US" sz="900" baseline="0">
              <a:latin typeface="Courier New" panose="02070309020205020404" pitchFamily="49" charset="0"/>
              <a:cs typeface="Courier New" panose="02070309020205020404" pitchFamily="49" charset="0"/>
            </a:rPr>
            <a:t>                |        1         1         1         0         0         0</a:t>
          </a:r>
        </a:p>
        <a:p>
          <a:r>
            <a:rPr lang="en-US" sz="900" baseline="0">
              <a:latin typeface="Courier New" panose="02070309020205020404" pitchFamily="49" charset="0"/>
              <a:cs typeface="Courier New" panose="02070309020205020404" pitchFamily="49" charset="0"/>
            </a:rPr>
            <a:t>                |        1         1         1         1         0         0</a:t>
          </a:r>
        </a:p>
        <a:p>
          <a:r>
            <a:rPr lang="en-US" sz="900" baseline="0">
              <a:latin typeface="Courier New" panose="02070309020205020404" pitchFamily="49" charset="0"/>
              <a:cs typeface="Courier New" panose="02070309020205020404" pitchFamily="49" charset="0"/>
            </a:rPr>
            <a:t>                |        1         1         1         1         1         0</a:t>
          </a:r>
        </a:p>
        <a:p>
          <a:r>
            <a:rPr lang="en-US" sz="900" baseline="0">
              <a:latin typeface="Courier New" panose="02070309020205020404" pitchFamily="49" charset="0"/>
              <a:cs typeface="Courier New" panose="02070309020205020404" pitchFamily="49" charset="0"/>
            </a:rPr>
            <a:t>----------------------------------------------------------------------------</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Now the simple crossings model:</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Then I renamed the crossing parameters to cross* instead of c*</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poisson count i.fathers_occ6 i.childs_occ6 cross*</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poisson count i.fathers_occ6 i.childs_occ6 cross*</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Poisson regression                                Number of obs   =         36</a:t>
          </a:r>
        </a:p>
        <a:p>
          <a:r>
            <a:rPr lang="en-US" sz="900" baseline="0">
              <a:latin typeface="Courier New" panose="02070309020205020404" pitchFamily="49" charset="0"/>
              <a:cs typeface="Courier New" panose="02070309020205020404" pitchFamily="49" charset="0"/>
            </a:rPr>
            <a:t>                                                  LR chi2(15)     =   14198.20</a:t>
          </a:r>
        </a:p>
        <a:p>
          <a:r>
            <a:rPr lang="en-US" sz="900" baseline="0">
              <a:latin typeface="Courier New" panose="02070309020205020404" pitchFamily="49" charset="0"/>
              <a:cs typeface="Courier New" panose="02070309020205020404" pitchFamily="49" charset="0"/>
            </a:rPr>
            <a:t>                                                  Prob &gt; chi2     =     0.0000</a:t>
          </a:r>
        </a:p>
        <a:p>
          <a:r>
            <a:rPr lang="en-US" sz="900" baseline="0">
              <a:latin typeface="Courier New" panose="02070309020205020404" pitchFamily="49" charset="0"/>
              <a:cs typeface="Courier New" panose="02070309020205020404" pitchFamily="49" charset="0"/>
            </a:rPr>
            <a:t>Log likelihood = -127.72971                       Pseudo R2       =     0.9823</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count |      Coef.   Std. Err.      z    P&gt;|z|     [95% Conf. Interval]</a:t>
          </a: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fathers_occ6 |</a:t>
          </a:r>
        </a:p>
        <a:p>
          <a:r>
            <a:rPr lang="en-US" sz="900" baseline="0">
              <a:latin typeface="Courier New" panose="02070309020205020404" pitchFamily="49" charset="0"/>
              <a:cs typeface="Courier New" panose="02070309020205020404" pitchFamily="49" charset="0"/>
            </a:rPr>
            <a:t>          cadre  |   -.544177   .1197173    -4.55   0.000    -.7788185   -.3095355</a:t>
          </a:r>
        </a:p>
        <a:p>
          <a:r>
            <a:rPr lang="en-US" sz="900" baseline="0">
              <a:latin typeface="Courier New" panose="02070309020205020404" pitchFamily="49" charset="0"/>
              <a:cs typeface="Courier New" panose="02070309020205020404" pitchFamily="49" charset="0"/>
            </a:rPr>
            <a:t>       clerical  |  -1.300514   .1459903    -8.91   0.000     -1.58665   -1.014379</a:t>
          </a:r>
        </a:p>
        <a:p>
          <a:r>
            <a:rPr lang="en-US" sz="900" baseline="0">
              <a:latin typeface="Courier New" panose="02070309020205020404" pitchFamily="49" charset="0"/>
              <a:cs typeface="Courier New" panose="02070309020205020404" pitchFamily="49" charset="0"/>
            </a:rPr>
            <a:t>sales &amp; service  |  -.6065936   .1142632    -5.31   0.000    -.8305454   -.3826419</a:t>
          </a:r>
        </a:p>
        <a:p>
          <a:r>
            <a:rPr lang="en-US" sz="900" baseline="0">
              <a:latin typeface="Courier New" panose="02070309020205020404" pitchFamily="49" charset="0"/>
              <a:cs typeface="Courier New" panose="02070309020205020404" pitchFamily="49" charset="0"/>
            </a:rPr>
            <a:t>         manual  |   .5577098   .0923571     6.04   0.000     .3766932    .7387265</a:t>
          </a:r>
        </a:p>
        <a:p>
          <a:r>
            <a:rPr lang="en-US" sz="900" baseline="0">
              <a:latin typeface="Courier New" panose="02070309020205020404" pitchFamily="49" charset="0"/>
              <a:cs typeface="Courier New" panose="02070309020205020404" pitchFamily="49" charset="0"/>
            </a:rPr>
            <a:t>   agricultural  |   2.385685   .0867375    27.50   0.000     2.215683    2.555688</a:t>
          </a:r>
        </a:p>
        <a:p>
          <a:r>
            <a:rPr lang="en-US" sz="900" baseline="0">
              <a:latin typeface="Courier New" panose="02070309020205020404" pitchFamily="49" charset="0"/>
              <a:cs typeface="Courier New" panose="02070309020205020404" pitchFamily="49" charset="0"/>
            </a:rPr>
            <a:t>                 |</a:t>
          </a:r>
        </a:p>
        <a:p>
          <a:r>
            <a:rPr lang="en-US" sz="900" baseline="0">
              <a:latin typeface="Courier New" panose="02070309020205020404" pitchFamily="49" charset="0"/>
              <a:cs typeface="Courier New" panose="02070309020205020404" pitchFamily="49" charset="0"/>
            </a:rPr>
            <a:t>     childs_occ6 |</a:t>
          </a:r>
        </a:p>
        <a:p>
          <a:r>
            <a:rPr lang="en-US" sz="900" baseline="0">
              <a:latin typeface="Courier New" panose="02070309020205020404" pitchFamily="49" charset="0"/>
              <a:cs typeface="Courier New" panose="02070309020205020404" pitchFamily="49" charset="0"/>
            </a:rPr>
            <a:t>          cadre  |  -.9765603   .1273545    -7.67   0.000    -1.226171     -.72695</a:t>
          </a:r>
        </a:p>
        <a:p>
          <a:r>
            <a:rPr lang="en-US" sz="900" baseline="0">
              <a:latin typeface="Courier New" panose="02070309020205020404" pitchFamily="49" charset="0"/>
              <a:cs typeface="Courier New" panose="02070309020205020404" pitchFamily="49" charset="0"/>
            </a:rPr>
            <a:t>       clerical  |  -1.146641   .1309023    -8.76   0.000    -1.403205   -.8900774</a:t>
          </a:r>
        </a:p>
        <a:p>
          <a:r>
            <a:rPr lang="en-US" sz="900" baseline="0">
              <a:latin typeface="Courier New" panose="02070309020205020404" pitchFamily="49" charset="0"/>
              <a:cs typeface="Courier New" panose="02070309020205020404" pitchFamily="49" charset="0"/>
            </a:rPr>
            <a:t>sales &amp; service  |   .0648164   .0966541     0.67   0.502    -.1246222     .254255</a:t>
          </a:r>
        </a:p>
        <a:p>
          <a:r>
            <a:rPr lang="en-US" sz="900" baseline="0">
              <a:latin typeface="Courier New" panose="02070309020205020404" pitchFamily="49" charset="0"/>
              <a:cs typeface="Courier New" panose="02070309020205020404" pitchFamily="49" charset="0"/>
            </a:rPr>
            <a:t>         manual  |   .6839881   .0882632     7.75   0.000     .5109954    .8569808</a:t>
          </a:r>
        </a:p>
        <a:p>
          <a:r>
            <a:rPr lang="en-US" sz="900" baseline="0">
              <a:latin typeface="Courier New" panose="02070309020205020404" pitchFamily="49" charset="0"/>
              <a:cs typeface="Courier New" panose="02070309020205020404" pitchFamily="49" charset="0"/>
            </a:rPr>
            <a:t>   agricultural  |   1.393307   .0867375    16.06   0.000     1.223305     1.56331</a:t>
          </a:r>
        </a:p>
        <a:p>
          <a:r>
            <a:rPr lang="en-US" sz="900" baseline="0">
              <a:latin typeface="Courier New" panose="02070309020205020404" pitchFamily="49" charset="0"/>
              <a:cs typeface="Courier New" panose="02070309020205020404" pitchFamily="49" charset="0"/>
            </a:rPr>
            <a:t>                 |</a:t>
          </a:r>
        </a:p>
        <a:p>
          <a:r>
            <a:rPr lang="en-US" sz="900" baseline="0">
              <a:latin typeface="Courier New" panose="02070309020205020404" pitchFamily="49" charset="0"/>
              <a:cs typeface="Courier New" panose="02070309020205020404" pitchFamily="49" charset="0"/>
            </a:rPr>
            <a:t>          cross1 |   -.137393     .10555    -1.30   0.193    -.3442672    .0694812</a:t>
          </a:r>
        </a:p>
        <a:p>
          <a:r>
            <a:rPr lang="en-US" sz="900" baseline="0">
              <a:latin typeface="Courier New" panose="02070309020205020404" pitchFamily="49" charset="0"/>
              <a:cs typeface="Courier New" panose="02070309020205020404" pitchFamily="49" charset="0"/>
            </a:rPr>
            <a:t>          cross2 |   .0085778   .1115392     0.08   0.939     -.210035    .2271907</a:t>
          </a:r>
        </a:p>
        <a:p>
          <a:r>
            <a:rPr lang="en-US" sz="900" baseline="0">
              <a:latin typeface="Courier New" panose="02070309020205020404" pitchFamily="49" charset="0"/>
              <a:cs typeface="Courier New" panose="02070309020205020404" pitchFamily="49" charset="0"/>
            </a:rPr>
            <a:t>          cross3 |  -.2220118   .0968281    -2.29   0.022    -.4117914   -.0322323</a:t>
          </a:r>
        </a:p>
        <a:p>
          <a:r>
            <a:rPr lang="en-US" sz="900" baseline="0">
              <a:latin typeface="Courier New" panose="02070309020205020404" pitchFamily="49" charset="0"/>
              <a:cs typeface="Courier New" panose="02070309020205020404" pitchFamily="49" charset="0"/>
            </a:rPr>
            <a:t>          cross4 |  -.2144185   .0592173    -3.62   0.000    -.3304824   -.0983547</a:t>
          </a:r>
        </a:p>
        <a:p>
          <a:r>
            <a:rPr lang="en-US" sz="900" baseline="0">
              <a:latin typeface="Courier New" panose="02070309020205020404" pitchFamily="49" charset="0"/>
              <a:cs typeface="Courier New" panose="02070309020205020404" pitchFamily="49" charset="0"/>
            </a:rPr>
            <a:t>          cross5 |  -1.034657   .0427902   -24.18   0.000    -1.118524     -.95079</a:t>
          </a:r>
        </a:p>
        <a:p>
          <a:r>
            <a:rPr lang="en-US" sz="900" baseline="0">
              <a:latin typeface="Courier New" panose="02070309020205020404" pitchFamily="49" charset="0"/>
              <a:cs typeface="Courier New" panose="02070309020205020404" pitchFamily="49" charset="0"/>
            </a:rPr>
            <a:t>           _cons |   4.043051   .1324532    30.52   0.000     3.783448    4.302655</a:t>
          </a:r>
        </a:p>
        <a:p>
          <a:r>
            <a:rPr lang="en-US" sz="900" baseline="0">
              <a:latin typeface="Courier New" panose="02070309020205020404" pitchFamily="49" charset="0"/>
              <a:cs typeface="Courier New" panose="02070309020205020404" pitchFamily="49" charset="0"/>
            </a:rPr>
            <a:t>----------------------------------------------------------------------------------</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poisgof</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Deviance goodness-of-fit =  60.43597</a:t>
          </a:r>
        </a:p>
        <a:p>
          <a:r>
            <a:rPr lang="en-US" sz="900" baseline="0">
              <a:latin typeface="Courier New" panose="02070309020205020404" pitchFamily="49" charset="0"/>
              <a:cs typeface="Courier New" panose="02070309020205020404" pitchFamily="49" charset="0"/>
            </a:rPr>
            <a:t>         Prob &gt; chi2(20)          =    0.0000</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Pearson goodness-of-fit  =  62.04643</a:t>
          </a:r>
        </a:p>
        <a:p>
          <a:r>
            <a:rPr lang="en-US" sz="900" baseline="0">
              <a:latin typeface="Courier New" panose="02070309020205020404" pitchFamily="49" charset="0"/>
              <a:cs typeface="Courier New" panose="02070309020205020404" pitchFamily="49" charset="0"/>
            </a:rPr>
            <a:t>         Prob &gt; chi2(20)          =    0.0000</a:t>
          </a: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The crossings parameters suggest that the strongest barrier to crossing is between categories 6 and 5. That is, it is hardest to get out of the agricultural class. A look at the tabulation of the data will explain why.</a:t>
          </a: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Now on to what Treiman calls the uniform association model.</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First, generate the score variable:</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generate score= fathers_occ6* childs_occ6</a:t>
          </a: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table fathers_occ6 childs_occ6, contents(mean score ) cellwidth(8)</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note: cellwidth too small, variable name truncated;</a:t>
          </a:r>
        </a:p>
        <a:p>
          <a:r>
            <a:rPr lang="en-US" sz="900" baseline="0">
              <a:latin typeface="Courier New" panose="02070309020205020404" pitchFamily="49" charset="0"/>
              <a:cs typeface="Courier New" panose="02070309020205020404" pitchFamily="49" charset="0"/>
            </a:rPr>
            <a:t>      to increase cellwidth, specify cellwidth(#)</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                        childs_occ6                        </a:t>
          </a:r>
        </a:p>
        <a:p>
          <a:r>
            <a:rPr lang="en-US" sz="900" baseline="0">
              <a:latin typeface="Courier New" panose="02070309020205020404" pitchFamily="49" charset="0"/>
              <a:cs typeface="Courier New" panose="02070309020205020404" pitchFamily="49" charset="0"/>
            </a:rPr>
            <a:t>   fathers_occ6 | professi     cadre  clerical  sales &amp;     manual  agricult</a:t>
          </a: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professional |        1         2         3         4         5         6</a:t>
          </a:r>
        </a:p>
        <a:p>
          <a:r>
            <a:rPr lang="en-US" sz="900" baseline="0">
              <a:latin typeface="Courier New" panose="02070309020205020404" pitchFamily="49" charset="0"/>
              <a:cs typeface="Courier New" panose="02070309020205020404" pitchFamily="49" charset="0"/>
            </a:rPr>
            <a:t>          cadre |        2         4         6         8        10        12</a:t>
          </a:r>
        </a:p>
        <a:p>
          <a:r>
            <a:rPr lang="en-US" sz="900" baseline="0">
              <a:latin typeface="Courier New" panose="02070309020205020404" pitchFamily="49" charset="0"/>
              <a:cs typeface="Courier New" panose="02070309020205020404" pitchFamily="49" charset="0"/>
            </a:rPr>
            <a:t>       clerical |        3         6         9        12        15        18</a:t>
          </a:r>
        </a:p>
        <a:p>
          <a:r>
            <a:rPr lang="en-US" sz="900" baseline="0">
              <a:latin typeface="Courier New" panose="02070309020205020404" pitchFamily="49" charset="0"/>
              <a:cs typeface="Courier New" panose="02070309020205020404" pitchFamily="49" charset="0"/>
            </a:rPr>
            <a:t>sales &amp; service |        4         8        12        16        20        24</a:t>
          </a:r>
        </a:p>
        <a:p>
          <a:r>
            <a:rPr lang="en-US" sz="900" baseline="0">
              <a:latin typeface="Courier New" panose="02070309020205020404" pitchFamily="49" charset="0"/>
              <a:cs typeface="Courier New" panose="02070309020205020404" pitchFamily="49" charset="0"/>
            </a:rPr>
            <a:t>         manual |        5        10        15        20        25        30</a:t>
          </a:r>
        </a:p>
        <a:p>
          <a:r>
            <a:rPr lang="en-US" sz="900" baseline="0">
              <a:latin typeface="Courier New" panose="02070309020205020404" pitchFamily="49" charset="0"/>
              <a:cs typeface="Courier New" panose="02070309020205020404" pitchFamily="49" charset="0"/>
            </a:rPr>
            <a:t>   agricultural |        6        12        18        24        30        36</a:t>
          </a:r>
        </a:p>
        <a:p>
          <a:r>
            <a:rPr lang="en-US" sz="900" baseline="0">
              <a:latin typeface="Courier New" panose="02070309020205020404" pitchFamily="49" charset="0"/>
              <a:cs typeface="Courier New" panose="02070309020205020404" pitchFamily="49" charset="0"/>
            </a:rPr>
            <a:t>----------------------------------------------------------------------------</a:t>
          </a: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*Then use the score variable as an input in the poisson model:</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poisson count i.fathers_occ6 i.childs_occ6 score</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Poisson regression                                Number of obs   =         36</a:t>
          </a:r>
        </a:p>
        <a:p>
          <a:r>
            <a:rPr lang="en-US" sz="900" baseline="0">
              <a:latin typeface="Courier New" panose="02070309020205020404" pitchFamily="49" charset="0"/>
              <a:cs typeface="Courier New" panose="02070309020205020404" pitchFamily="49" charset="0"/>
            </a:rPr>
            <a:t>                                                  LR chi2(11)     =   13626.61</a:t>
          </a:r>
        </a:p>
        <a:p>
          <a:r>
            <a:rPr lang="en-US" sz="900" baseline="0">
              <a:latin typeface="Courier New" panose="02070309020205020404" pitchFamily="49" charset="0"/>
              <a:cs typeface="Courier New" panose="02070309020205020404" pitchFamily="49" charset="0"/>
            </a:rPr>
            <a:t>                                                  Prob &gt; chi2     =     0.0000</a:t>
          </a:r>
        </a:p>
        <a:p>
          <a:r>
            <a:rPr lang="en-US" sz="900" baseline="0">
              <a:latin typeface="Courier New" panose="02070309020205020404" pitchFamily="49" charset="0"/>
              <a:cs typeface="Courier New" panose="02070309020205020404" pitchFamily="49" charset="0"/>
            </a:rPr>
            <a:t>Log likelihood = -413.52799                       Pseudo R2       =     0.9428</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count |      Coef.   Std. Err.      z    P&gt;|z|     [95% Conf. Interval]</a:t>
          </a: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fathers_occ6 |</a:t>
          </a:r>
        </a:p>
        <a:p>
          <a:r>
            <a:rPr lang="en-US" sz="900" baseline="0">
              <a:latin typeface="Courier New" panose="02070309020205020404" pitchFamily="49" charset="0"/>
              <a:cs typeface="Courier New" panose="02070309020205020404" pitchFamily="49" charset="0"/>
            </a:rPr>
            <a:t>          cadre  |  -.9369255   .1037947    -9.03   0.000    -1.140359   -.7334917</a:t>
          </a:r>
        </a:p>
        <a:p>
          <a:r>
            <a:rPr lang="en-US" sz="900" baseline="0">
              <a:latin typeface="Courier New" panose="02070309020205020404" pitchFamily="49" charset="0"/>
              <a:cs typeface="Courier New" panose="02070309020205020404" pitchFamily="49" charset="0"/>
            </a:rPr>
            <a:t>       clerical  |  -2.239794   .1383562   -16.19   0.000    -2.510967    -1.96862</a:t>
          </a:r>
        </a:p>
        <a:p>
          <a:r>
            <a:rPr lang="en-US" sz="900" baseline="0">
              <a:latin typeface="Courier New" panose="02070309020205020404" pitchFamily="49" charset="0"/>
              <a:cs typeface="Courier New" panose="02070309020205020404" pitchFamily="49" charset="0"/>
            </a:rPr>
            <a:t>sales &amp; service  |  -2.056584   .1184554   -17.36   0.000    -2.288753   -1.824416</a:t>
          </a:r>
        </a:p>
        <a:p>
          <a:r>
            <a:rPr lang="en-US" sz="900" baseline="0">
              <a:latin typeface="Courier New" panose="02070309020205020404" pitchFamily="49" charset="0"/>
              <a:cs typeface="Courier New" panose="02070309020205020404" pitchFamily="49" charset="0"/>
            </a:rPr>
            <a:t>         manual  |  -1.501873   .1190854   -12.61   0.000    -1.735276    -1.26847</a:t>
          </a:r>
        </a:p>
        <a:p>
          <a:r>
            <a:rPr lang="en-US" sz="900" baseline="0">
              <a:latin typeface="Courier New" panose="02070309020205020404" pitchFamily="49" charset="0"/>
              <a:cs typeface="Courier New" panose="02070309020205020404" pitchFamily="49" charset="0"/>
            </a:rPr>
            <a:t>   agricultural  |  -.3384737   .1404714    -2.41   0.016    -.6137925   -.0631549</a:t>
          </a:r>
        </a:p>
        <a:p>
          <a:r>
            <a:rPr lang="en-US" sz="900" baseline="0">
              <a:latin typeface="Courier New" panose="02070309020205020404" pitchFamily="49" charset="0"/>
              <a:cs typeface="Courier New" panose="02070309020205020404" pitchFamily="49" charset="0"/>
            </a:rPr>
            <a:t>                 |</a:t>
          </a:r>
        </a:p>
        <a:p>
          <a:r>
            <a:rPr lang="en-US" sz="900" baseline="0">
              <a:latin typeface="Courier New" panose="02070309020205020404" pitchFamily="49" charset="0"/>
              <a:cs typeface="Courier New" panose="02070309020205020404" pitchFamily="49" charset="0"/>
            </a:rPr>
            <a:t>     childs_occ6 |</a:t>
          </a:r>
        </a:p>
        <a:p>
          <a:r>
            <a:rPr lang="en-US" sz="900" baseline="0">
              <a:latin typeface="Courier New" panose="02070309020205020404" pitchFamily="49" charset="0"/>
              <a:cs typeface="Courier New" panose="02070309020205020404" pitchFamily="49" charset="0"/>
            </a:rPr>
            <a:t>          cadre  |   -1.41286   .1077443   -13.11   0.000    -1.624035   -1.201685</a:t>
          </a:r>
        </a:p>
        <a:p>
          <a:r>
            <a:rPr lang="en-US" sz="900" baseline="0">
              <a:latin typeface="Courier New" panose="02070309020205020404" pitchFamily="49" charset="0"/>
              <a:cs typeface="Courier New" panose="02070309020205020404" pitchFamily="49" charset="0"/>
            </a:rPr>
            <a:t>       clerical  |  -2.185271   .1207141   -18.10   0.000    -2.421866   -1.948675</a:t>
          </a:r>
        </a:p>
        <a:p>
          <a:r>
            <a:rPr lang="en-US" sz="900" baseline="0">
              <a:latin typeface="Courier New" panose="02070309020205020404" pitchFamily="49" charset="0"/>
              <a:cs typeface="Courier New" panose="02070309020205020404" pitchFamily="49" charset="0"/>
            </a:rPr>
            <a:t>sales &amp; service  |  -1.519274   .1046854   -14.51   0.000    -1.724454   -1.314094</a:t>
          </a:r>
        </a:p>
        <a:p>
          <a:r>
            <a:rPr lang="en-US" sz="900" baseline="0">
              <a:latin typeface="Courier New" panose="02070309020205020404" pitchFamily="49" charset="0"/>
              <a:cs typeface="Courier New" panose="02070309020205020404" pitchFamily="49" charset="0"/>
            </a:rPr>
            <a:t>         manual  |   -1.49015   .1246133   -11.96   0.000    -1.734387   -1.245912</a:t>
          </a:r>
        </a:p>
        <a:p>
          <a:r>
            <a:rPr lang="en-US" sz="900" baseline="0">
              <a:latin typeface="Courier New" panose="02070309020205020404" pitchFamily="49" charset="0"/>
              <a:cs typeface="Courier New" panose="02070309020205020404" pitchFamily="49" charset="0"/>
            </a:rPr>
            <a:t>   agricultural  |  -.9838719   .1527591    -6.44   0.000    -1.283274   -.6844695</a:t>
          </a:r>
        </a:p>
        <a:p>
          <a:r>
            <a:rPr lang="en-US" sz="900" baseline="0">
              <a:latin typeface="Courier New" panose="02070309020205020404" pitchFamily="49" charset="0"/>
              <a:cs typeface="Courier New" panose="02070309020205020404" pitchFamily="49" charset="0"/>
            </a:rPr>
            <a:t>                 |</a:t>
          </a:r>
        </a:p>
        <a:p>
          <a:r>
            <a:rPr lang="en-US" sz="900" baseline="0">
              <a:latin typeface="Courier New" panose="02070309020205020404" pitchFamily="49" charset="0"/>
              <a:cs typeface="Courier New" panose="02070309020205020404" pitchFamily="49" charset="0"/>
            </a:rPr>
            <a:t>           score |   .1306179   .0062238    20.99   0.000     .1184194    .1428164</a:t>
          </a:r>
        </a:p>
        <a:p>
          <a:r>
            <a:rPr lang="en-US" sz="900" baseline="0">
              <a:latin typeface="Courier New" panose="02070309020205020404" pitchFamily="49" charset="0"/>
              <a:cs typeface="Courier New" panose="02070309020205020404" pitchFamily="49" charset="0"/>
            </a:rPr>
            <a:t>           _cons |   4.324858   .0856626    50.49   0.000     4.156962    4.492753</a:t>
          </a:r>
        </a:p>
        <a:p>
          <a:r>
            <a:rPr lang="en-US" sz="900" baseline="0">
              <a:latin typeface="Courier New" panose="02070309020205020404" pitchFamily="49" charset="0"/>
              <a:cs typeface="Courier New" panose="02070309020205020404" pitchFamily="49" charset="0"/>
            </a:rPr>
            <a:t>----------------------------------------------------------------------------------</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poisgof</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Deviance goodness-of-fit =  632.0326</a:t>
          </a:r>
        </a:p>
        <a:p>
          <a:r>
            <a:rPr lang="en-US" sz="900" baseline="0">
              <a:latin typeface="Courier New" panose="02070309020205020404" pitchFamily="49" charset="0"/>
              <a:cs typeface="Courier New" panose="02070309020205020404" pitchFamily="49" charset="0"/>
            </a:rPr>
            <a:t>         Prob &gt; chi2(24)          =    0.0000</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Pearson goodness-of-fit  =  662.5006</a:t>
          </a:r>
        </a:p>
        <a:p>
          <a:r>
            <a:rPr lang="en-US" sz="900" baseline="0">
              <a:latin typeface="Courier New" panose="02070309020205020404" pitchFamily="49" charset="0"/>
              <a:cs typeface="Courier New" panose="02070309020205020404" pitchFamily="49" charset="0"/>
            </a:rPr>
            <a:t>         Prob &gt; chi2(24)          =    0.0000</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The score variable is highly significant, as it is the only interaction term in the model. Why do they call this the uniform association model?</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The 0.1306 corresponds to the log odds ratio of every 2x2 mini-table in the predicted values. This model imposes a uniform association between categories.</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table fathers_occ6 childs_occ6, contents(mean uniform_assoc ) cellwidth(8)</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note: cellwidth too small, variable name truncated;</a:t>
          </a:r>
        </a:p>
        <a:p>
          <a:r>
            <a:rPr lang="en-US" sz="900" baseline="0">
              <a:latin typeface="Courier New" panose="02070309020205020404" pitchFamily="49" charset="0"/>
              <a:cs typeface="Courier New" panose="02070309020205020404" pitchFamily="49" charset="0"/>
            </a:rPr>
            <a:t>      to increase cellwidth, specify cellwidth(#)</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                        childs_occ6                        </a:t>
          </a:r>
        </a:p>
        <a:p>
          <a:r>
            <a:rPr lang="en-US" sz="900" baseline="0">
              <a:latin typeface="Courier New" panose="02070309020205020404" pitchFamily="49" charset="0"/>
              <a:cs typeface="Courier New" panose="02070309020205020404" pitchFamily="49" charset="0"/>
            </a:rPr>
            <a:t>   fathers_occ6 | professi     cadre  clerical  sales &amp;     manual  agricult</a:t>
          </a: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professional |  86.0971   23.8846   12.5716   27.8841   32.7138   61.8488</a:t>
          </a:r>
        </a:p>
        <a:p>
          <a:r>
            <a:rPr lang="en-US" sz="900" baseline="0">
              <a:latin typeface="Courier New" panose="02070309020205020404" pitchFamily="49" charset="0"/>
              <a:cs typeface="Courier New" panose="02070309020205020404" pitchFamily="49" charset="0"/>
            </a:rPr>
            <a:t>          cadre |  38.4427   12.1526   7.28902    18.423   24.6299   53.0628</a:t>
          </a:r>
        </a:p>
        <a:p>
          <a:r>
            <a:rPr lang="en-US" sz="900" baseline="0">
              <a:latin typeface="Courier New" panose="02070309020205020404" pitchFamily="49" charset="0"/>
              <a:cs typeface="Courier New" panose="02070309020205020404" pitchFamily="49" charset="0"/>
            </a:rPr>
            <a:t>       clerical |  11.9045   4.28839   2.93103   8.44188   12.8608   31.5734</a:t>
          </a:r>
        </a:p>
        <a:p>
          <a:r>
            <a:rPr lang="en-US" sz="900" baseline="0">
              <a:latin typeface="Courier New" panose="02070309020205020404" pitchFamily="49" charset="0"/>
              <a:cs typeface="Courier New" panose="02070309020205020404" pitchFamily="49" charset="0"/>
            </a:rPr>
            <a:t>sales &amp; service |  16.2932   6.68828   5.20916   17.0967   29.6803   83.0324</a:t>
          </a:r>
        </a:p>
        <a:p>
          <a:r>
            <a:rPr lang="en-US" sz="900" baseline="0">
              <a:latin typeface="Courier New" panose="02070309020205020404" pitchFamily="49" charset="0"/>
              <a:cs typeface="Courier New" panose="02070309020205020404" pitchFamily="49" charset="0"/>
            </a:rPr>
            <a:t>         manual |  32.3325   15.1243   13.4232   50.2027   99.3137   316.604</a:t>
          </a:r>
        </a:p>
        <a:p>
          <a:r>
            <a:rPr lang="en-US" sz="900" baseline="0">
              <a:latin typeface="Courier New" panose="02070309020205020404" pitchFamily="49" charset="0"/>
              <a:cs typeface="Courier New" panose="02070309020205020404" pitchFamily="49" charset="0"/>
            </a:rPr>
            <a:t>   agricultural |   117.93   62.8618    63.576   270.952   610.802   2218.88</a:t>
          </a:r>
        </a:p>
        <a:p>
          <a:r>
            <a:rPr lang="en-US" sz="900" baseline="0">
              <a:latin typeface="Courier New" panose="02070309020205020404" pitchFamily="49" charset="0"/>
              <a:cs typeface="Courier New" panose="02070309020205020404" pitchFamily="49" charset="0"/>
            </a:rPr>
            <a:t>----------------------------------------------------------------------------</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*Odds ratio:</a:t>
          </a:r>
        </a:p>
        <a:p>
          <a:r>
            <a:rPr lang="en-US" sz="900" baseline="0">
              <a:latin typeface="Courier New" panose="02070309020205020404" pitchFamily="49" charset="0"/>
              <a:cs typeface="Courier New" panose="02070309020205020404" pitchFamily="49" charset="0"/>
            </a:rPr>
            <a:t>. display 32.33*62.86/(117.93*15.12)</a:t>
          </a:r>
        </a:p>
        <a:p>
          <a:r>
            <a:rPr lang="en-US" sz="900" baseline="0">
              <a:latin typeface="Courier New" panose="02070309020205020404" pitchFamily="49" charset="0"/>
              <a:cs typeface="Courier New" panose="02070309020205020404" pitchFamily="49" charset="0"/>
            </a:rPr>
            <a:t>1.1397353</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Log odds ratio:</a:t>
          </a:r>
        </a:p>
        <a:p>
          <a:r>
            <a:rPr lang="en-US" sz="900" baseline="0">
              <a:latin typeface="Courier New" panose="02070309020205020404" pitchFamily="49" charset="0"/>
              <a:cs typeface="Courier New" panose="02070309020205020404" pitchFamily="49" charset="0"/>
            </a:rPr>
            <a:t>. display ln(32.33*62.86/(117.93*15.12))</a:t>
          </a:r>
        </a:p>
        <a:p>
          <a:r>
            <a:rPr lang="en-US" sz="900" baseline="0">
              <a:latin typeface="Courier New" panose="02070309020205020404" pitchFamily="49" charset="0"/>
              <a:cs typeface="Courier New" panose="02070309020205020404" pitchFamily="49" charset="0"/>
            </a:rPr>
            <a:t>.13079602</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*And another 2x2 table from the fitted data:</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display ln(8.4419*29.68/(17.097*12.86))</a:t>
          </a:r>
        </a:p>
        <a:p>
          <a:r>
            <a:rPr lang="en-US" sz="900" baseline="0">
              <a:latin typeface="Courier New" panose="02070309020205020404" pitchFamily="49" charset="0"/>
              <a:cs typeface="Courier New" panose="02070309020205020404" pitchFamily="49" charset="0"/>
            </a:rPr>
            <a:t>.13065609</a:t>
          </a: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gen ID_uniform=(50/4501)*(abs(count- uniform_assoc ))</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table fathers_occ6 childs_occ6, contents(sum ID_uniform ) row col cellwidth(8)</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note: cellwidth too small, variable name truncated;</a:t>
          </a:r>
        </a:p>
        <a:p>
          <a:r>
            <a:rPr lang="en-US" sz="900" baseline="0">
              <a:latin typeface="Courier New" panose="02070309020205020404" pitchFamily="49" charset="0"/>
              <a:cs typeface="Courier New" panose="02070309020205020404" pitchFamily="49" charset="0"/>
            </a:rPr>
            <a:t>      to increase cellwidth, specify cellwidth(#)</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                             childs_occ6                             </a:t>
          </a:r>
        </a:p>
        <a:p>
          <a:r>
            <a:rPr lang="en-US" sz="900" baseline="0">
              <a:latin typeface="Courier New" panose="02070309020205020404" pitchFamily="49" charset="0"/>
              <a:cs typeface="Courier New" panose="02070309020205020404" pitchFamily="49" charset="0"/>
            </a:rPr>
            <a:t>   fathers_occ6 | professi     cadre  clerical  sales &amp;     manual  agricult     Total</a:t>
          </a: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professional |  .323229    .14313   .050784   .123483   .314221    .07944   1.03429</a:t>
          </a:r>
        </a:p>
        <a:p>
          <a:r>
            <a:rPr lang="en-US" sz="900" baseline="0">
              <a:latin typeface="Courier New" panose="02070309020205020404" pitchFamily="49" charset="0"/>
              <a:cs typeface="Courier New" panose="02070309020205020404" pitchFamily="49" charset="0"/>
            </a:rPr>
            <a:t>          cadre |  .027135   .009413   .107876   .039735   .115198   .245087   .544444</a:t>
          </a:r>
        </a:p>
        <a:p>
          <a:r>
            <a:rPr lang="en-US" sz="900" baseline="0">
              <a:latin typeface="Courier New" panose="02070309020205020404" pitchFamily="49" charset="0"/>
              <a:cs typeface="Courier New" panose="02070309020205020404" pitchFamily="49" charset="0"/>
            </a:rPr>
            <a:t>       clerical |  .023278   .003204   .056309   .004909   .101524   .172999   .362223</a:t>
          </a:r>
        </a:p>
        <a:p>
          <a:r>
            <a:rPr lang="en-US" sz="900" baseline="0">
              <a:latin typeface="Courier New" panose="02070309020205020404" pitchFamily="49" charset="0"/>
              <a:cs typeface="Courier New" panose="02070309020205020404" pitchFamily="49" charset="0"/>
            </a:rPr>
            <a:t>sales &amp; service |  .030069   .081223   .008785   .354402   .114638   .589118   1.17824</a:t>
          </a:r>
        </a:p>
        <a:p>
          <a:r>
            <a:rPr lang="en-US" sz="900" baseline="0">
              <a:latin typeface="Courier New" panose="02070309020205020404" pitchFamily="49" charset="0"/>
              <a:cs typeface="Courier New" panose="02070309020205020404" pitchFamily="49" charset="0"/>
            </a:rPr>
            <a:t>         manual |  .151827    .07638   .106385   .286573    1.5184   2.13956   4.27913</a:t>
          </a:r>
        </a:p>
        <a:p>
          <a:r>
            <a:rPr lang="en-US" sz="900" baseline="0">
              <a:latin typeface="Courier New" panose="02070309020205020404" pitchFamily="49" charset="0"/>
              <a:cs typeface="Courier New" panose="02070309020205020404" pitchFamily="49" charset="0"/>
            </a:rPr>
            <a:t>   agricultural |   .14519   .020682   .228571   .799285   2.16398   3.06733   6.42504</a:t>
          </a:r>
        </a:p>
        <a:p>
          <a:r>
            <a:rPr lang="en-US" sz="900" baseline="0">
              <a:latin typeface="Courier New" panose="02070309020205020404" pitchFamily="49" charset="0"/>
              <a:cs typeface="Courier New" panose="02070309020205020404" pitchFamily="49" charset="0"/>
            </a:rPr>
            <a:t>                | </a:t>
          </a:r>
        </a:p>
        <a:p>
          <a:r>
            <a:rPr lang="en-US" sz="900" baseline="0">
              <a:latin typeface="Courier New" panose="02070309020205020404" pitchFamily="49" charset="0"/>
              <a:cs typeface="Courier New" panose="02070309020205020404" pitchFamily="49" charset="0"/>
            </a:rPr>
            <a:t>          Total |  .700728   .334032   .558712   1.60839   4.32796   6.29354   13.8234</a:t>
          </a:r>
        </a:p>
        <a:p>
          <a:r>
            <a:rPr lang="en-US" sz="900" baseline="0">
              <a:latin typeface="Courier New" panose="02070309020205020404" pitchFamily="49" charset="0"/>
              <a:cs typeface="Courier New" panose="02070309020205020404" pitchFamily="49" charset="0"/>
            </a:rPr>
            <a:t>--------------------------------------------------------------------------------------</a:t>
          </a: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*Two ways to address the main diagonal:</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gen byte main_diagonal=0</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replace main_diagonal=1 if fathers_occ6== childs_occ6</a:t>
          </a:r>
        </a:p>
        <a:p>
          <a:r>
            <a:rPr lang="en-US" sz="900" baseline="0">
              <a:latin typeface="Courier New" panose="02070309020205020404" pitchFamily="49" charset="0"/>
              <a:cs typeface="Courier New" panose="02070309020205020404" pitchFamily="49" charset="0"/>
            </a:rPr>
            <a:t>(6 real changes made)</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label var main_diagonal "main diagonal dichotomous"</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gen byte main_diagonal_each=0</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replace main_diagonal_each= fathers_occ6 if fathers_occ6== childs_occ6</a:t>
          </a:r>
        </a:p>
        <a:p>
          <a:r>
            <a:rPr lang="en-US" sz="900" baseline="0">
              <a:latin typeface="Courier New" panose="02070309020205020404" pitchFamily="49" charset="0"/>
              <a:cs typeface="Courier New" panose="02070309020205020404" pitchFamily="49" charset="0"/>
            </a:rPr>
            <a:t>(6 real changes made)</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table fathers_occ6 childs_occ6, contents(mean main_diagonal)  cellwidth(8)</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note: cellwidth too small, variable name truncated;</a:t>
          </a:r>
        </a:p>
        <a:p>
          <a:r>
            <a:rPr lang="en-US" sz="900" baseline="0">
              <a:latin typeface="Courier New" panose="02070309020205020404" pitchFamily="49" charset="0"/>
              <a:cs typeface="Courier New" panose="02070309020205020404" pitchFamily="49" charset="0"/>
            </a:rPr>
            <a:t>      to increase cellwidth, specify cellwidth(#)</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                        childs_occ6                        </a:t>
          </a:r>
        </a:p>
        <a:p>
          <a:r>
            <a:rPr lang="en-US" sz="900" baseline="0">
              <a:latin typeface="Courier New" panose="02070309020205020404" pitchFamily="49" charset="0"/>
              <a:cs typeface="Courier New" panose="02070309020205020404" pitchFamily="49" charset="0"/>
            </a:rPr>
            <a:t>   fathers_occ6 | professi     cadre  clerical  sales &amp;     manual  agricult</a:t>
          </a: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professional |        1         0         0         0         0         0</a:t>
          </a:r>
        </a:p>
        <a:p>
          <a:r>
            <a:rPr lang="en-US" sz="900" baseline="0">
              <a:latin typeface="Courier New" panose="02070309020205020404" pitchFamily="49" charset="0"/>
              <a:cs typeface="Courier New" panose="02070309020205020404" pitchFamily="49" charset="0"/>
            </a:rPr>
            <a:t>          cadre |        0         1         0         0         0         0</a:t>
          </a:r>
        </a:p>
        <a:p>
          <a:r>
            <a:rPr lang="en-US" sz="900" baseline="0">
              <a:latin typeface="Courier New" panose="02070309020205020404" pitchFamily="49" charset="0"/>
              <a:cs typeface="Courier New" panose="02070309020205020404" pitchFamily="49" charset="0"/>
            </a:rPr>
            <a:t>       clerical |        0         0         1         0         0         0</a:t>
          </a:r>
        </a:p>
        <a:p>
          <a:r>
            <a:rPr lang="en-US" sz="900" baseline="0">
              <a:latin typeface="Courier New" panose="02070309020205020404" pitchFamily="49" charset="0"/>
              <a:cs typeface="Courier New" panose="02070309020205020404" pitchFamily="49" charset="0"/>
            </a:rPr>
            <a:t>sales &amp; service |        0         0         0         1         0         0</a:t>
          </a:r>
        </a:p>
        <a:p>
          <a:r>
            <a:rPr lang="en-US" sz="900" baseline="0">
              <a:latin typeface="Courier New" panose="02070309020205020404" pitchFamily="49" charset="0"/>
              <a:cs typeface="Courier New" panose="02070309020205020404" pitchFamily="49" charset="0"/>
            </a:rPr>
            <a:t>         manual |        0         0         0         0         1         0</a:t>
          </a:r>
        </a:p>
        <a:p>
          <a:r>
            <a:rPr lang="en-US" sz="900" baseline="0">
              <a:latin typeface="Courier New" panose="02070309020205020404" pitchFamily="49" charset="0"/>
              <a:cs typeface="Courier New" panose="02070309020205020404" pitchFamily="49" charset="0"/>
            </a:rPr>
            <a:t>   agricultural |        0         0         0         0         0         1</a:t>
          </a:r>
        </a:p>
        <a:p>
          <a:r>
            <a:rPr lang="en-US" sz="900" baseline="0">
              <a:latin typeface="Courier New" panose="02070309020205020404" pitchFamily="49" charset="0"/>
              <a:cs typeface="Courier New" panose="02070309020205020404" pitchFamily="49" charset="0"/>
            </a:rPr>
            <a:t>----------------------------------------------------------------------------</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table fathers_occ6 childs_occ6, contents(mean main_diagonal_each )  cellwidth(8)</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note: cellwidth too small, variable name truncated;</a:t>
          </a:r>
        </a:p>
        <a:p>
          <a:r>
            <a:rPr lang="en-US" sz="900" baseline="0">
              <a:latin typeface="Courier New" panose="02070309020205020404" pitchFamily="49" charset="0"/>
              <a:cs typeface="Courier New" panose="02070309020205020404" pitchFamily="49" charset="0"/>
            </a:rPr>
            <a:t>      to increase cellwidth, specify cellwidth(#)</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                        childs_occ6                        </a:t>
          </a:r>
        </a:p>
        <a:p>
          <a:r>
            <a:rPr lang="en-US" sz="900" baseline="0">
              <a:latin typeface="Courier New" panose="02070309020205020404" pitchFamily="49" charset="0"/>
              <a:cs typeface="Courier New" panose="02070309020205020404" pitchFamily="49" charset="0"/>
            </a:rPr>
            <a:t>   fathers_occ6 | professi     cadre  clerical  sales &amp;     manual  agricult</a:t>
          </a: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professional |        1         0         0         0         0         0</a:t>
          </a:r>
        </a:p>
        <a:p>
          <a:r>
            <a:rPr lang="en-US" sz="900" baseline="0">
              <a:latin typeface="Courier New" panose="02070309020205020404" pitchFamily="49" charset="0"/>
              <a:cs typeface="Courier New" panose="02070309020205020404" pitchFamily="49" charset="0"/>
            </a:rPr>
            <a:t>          cadre |        0         2         0         0         0         0</a:t>
          </a:r>
        </a:p>
        <a:p>
          <a:r>
            <a:rPr lang="en-US" sz="900" baseline="0">
              <a:latin typeface="Courier New" panose="02070309020205020404" pitchFamily="49" charset="0"/>
              <a:cs typeface="Courier New" panose="02070309020205020404" pitchFamily="49" charset="0"/>
            </a:rPr>
            <a:t>       clerical |        0         0         3         0         0         0</a:t>
          </a:r>
        </a:p>
        <a:p>
          <a:r>
            <a:rPr lang="en-US" sz="900" baseline="0">
              <a:latin typeface="Courier New" panose="02070309020205020404" pitchFamily="49" charset="0"/>
              <a:cs typeface="Courier New" panose="02070309020205020404" pitchFamily="49" charset="0"/>
            </a:rPr>
            <a:t>sales &amp; service |        0         0         0         4         0         0</a:t>
          </a:r>
        </a:p>
        <a:p>
          <a:r>
            <a:rPr lang="en-US" sz="900" baseline="0">
              <a:latin typeface="Courier New" panose="02070309020205020404" pitchFamily="49" charset="0"/>
              <a:cs typeface="Courier New" panose="02070309020205020404" pitchFamily="49" charset="0"/>
            </a:rPr>
            <a:t>         manual |        0         0         0         0         5         0</a:t>
          </a:r>
        </a:p>
        <a:p>
          <a:r>
            <a:rPr lang="en-US" sz="900" baseline="0">
              <a:latin typeface="Courier New" panose="02070309020205020404" pitchFamily="49" charset="0"/>
              <a:cs typeface="Courier New" panose="02070309020205020404" pitchFamily="49" charset="0"/>
            </a:rPr>
            <a:t>   agricultural |        0         0         0         0         0         6</a:t>
          </a:r>
        </a:p>
        <a:p>
          <a:r>
            <a:rPr lang="en-US" sz="900" baseline="0">
              <a:latin typeface="Courier New" panose="02070309020205020404" pitchFamily="49" charset="0"/>
              <a:cs typeface="Courier New" panose="02070309020205020404" pitchFamily="49" charset="0"/>
            </a:rPr>
            <a:t>----------------------------------------------------------------------------</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Now on to the main diagonal as one category, one degree of freedom model (not in the Treiman table)</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poisson count i.fathers_occ6 i.childs_occ6 main_diagonal</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Poisson regression                                Number of obs   =         36</a:t>
          </a:r>
        </a:p>
        <a:p>
          <a:r>
            <a:rPr lang="en-US" sz="900" baseline="0">
              <a:latin typeface="Courier New" panose="02070309020205020404" pitchFamily="49" charset="0"/>
              <a:cs typeface="Courier New" panose="02070309020205020404" pitchFamily="49" charset="0"/>
            </a:rPr>
            <a:t>                                                  LR chi2(11)     =   14078.93</a:t>
          </a:r>
        </a:p>
        <a:p>
          <a:r>
            <a:rPr lang="en-US" sz="900" baseline="0">
              <a:latin typeface="Courier New" panose="02070309020205020404" pitchFamily="49" charset="0"/>
              <a:cs typeface="Courier New" panose="02070309020205020404" pitchFamily="49" charset="0"/>
            </a:rPr>
            <a:t>                                                  Prob &gt; chi2     =     0.0000</a:t>
          </a:r>
        </a:p>
        <a:p>
          <a:r>
            <a:rPr lang="en-US" sz="900" baseline="0">
              <a:latin typeface="Courier New" panose="02070309020205020404" pitchFamily="49" charset="0"/>
              <a:cs typeface="Courier New" panose="02070309020205020404" pitchFamily="49" charset="0"/>
            </a:rPr>
            <a:t>Log likelihood =  -187.3692                       Pseudo R2       =     0.9741</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count |      Coef.   Std. Err.      z    P&gt;|z|     [95% Conf. Interval]</a:t>
          </a: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fathers_occ6 |</a:t>
          </a:r>
        </a:p>
        <a:p>
          <a:r>
            <a:rPr lang="en-US" sz="900" baseline="0">
              <a:latin typeface="Courier New" panose="02070309020205020404" pitchFamily="49" charset="0"/>
              <a:cs typeface="Courier New" panose="02070309020205020404" pitchFamily="49" charset="0"/>
            </a:rPr>
            <a:t>          cadre  |  -.3387768   .1041751    -3.25   0.001    -.5429563   -.1345973</a:t>
          </a:r>
        </a:p>
        <a:p>
          <a:r>
            <a:rPr lang="en-US" sz="900" baseline="0">
              <a:latin typeface="Courier New" panose="02070309020205020404" pitchFamily="49" charset="0"/>
              <a:cs typeface="Courier New" panose="02070309020205020404" pitchFamily="49" charset="0"/>
            </a:rPr>
            <a:t>       clerical  |  -1.088762   .1350885    -8.06   0.000     -1.35353   -.8239933</a:t>
          </a:r>
        </a:p>
        <a:p>
          <a:r>
            <a:rPr lang="en-US" sz="900" baseline="0">
              <a:latin typeface="Courier New" panose="02070309020205020404" pitchFamily="49" charset="0"/>
              <a:cs typeface="Courier New" panose="02070309020205020404" pitchFamily="49" charset="0"/>
            </a:rPr>
            <a:t>sales &amp; service  |  -.5170661   .1037885    -4.98   0.000    -.7204878   -.3136444</a:t>
          </a:r>
        </a:p>
        <a:p>
          <a:r>
            <a:rPr lang="en-US" sz="900" baseline="0">
              <a:latin typeface="Courier New" panose="02070309020205020404" pitchFamily="49" charset="0"/>
              <a:cs typeface="Courier New" panose="02070309020205020404" pitchFamily="49" charset="0"/>
            </a:rPr>
            <a:t>         manual  |   .5094029   .0802796     6.35   0.000     .3520578    .6667481</a:t>
          </a:r>
        </a:p>
        <a:p>
          <a:r>
            <a:rPr lang="en-US" sz="900" baseline="0">
              <a:latin typeface="Courier New" panose="02070309020205020404" pitchFamily="49" charset="0"/>
              <a:cs typeface="Courier New" panose="02070309020205020404" pitchFamily="49" charset="0"/>
            </a:rPr>
            <a:t>   agricultural  |   2.116903   .0688238    30.76   0.000     1.982011    2.251795</a:t>
          </a:r>
        </a:p>
        <a:p>
          <a:r>
            <a:rPr lang="en-US" sz="900" baseline="0">
              <a:latin typeface="Courier New" panose="02070309020205020404" pitchFamily="49" charset="0"/>
              <a:cs typeface="Courier New" panose="02070309020205020404" pitchFamily="49" charset="0"/>
            </a:rPr>
            <a:t>                 |</a:t>
          </a:r>
        </a:p>
        <a:p>
          <a:r>
            <a:rPr lang="en-US" sz="900" baseline="0">
              <a:latin typeface="Courier New" panose="02070309020205020404" pitchFamily="49" charset="0"/>
              <a:cs typeface="Courier New" panose="02070309020205020404" pitchFamily="49" charset="0"/>
            </a:rPr>
            <a:t>     childs_occ6 |</a:t>
          </a:r>
        </a:p>
        <a:p>
          <a:r>
            <a:rPr lang="en-US" sz="900" baseline="0">
              <a:latin typeface="Courier New" panose="02070309020205020404" pitchFamily="49" charset="0"/>
              <a:cs typeface="Courier New" panose="02070309020205020404" pitchFamily="49" charset="0"/>
            </a:rPr>
            <a:t>          cadre  |  -.8358219   .1073683    -7.78   0.000     -1.04626   -.6253839</a:t>
          </a:r>
        </a:p>
        <a:p>
          <a:r>
            <a:rPr lang="en-US" sz="900" baseline="0">
              <a:latin typeface="Courier New" panose="02070309020205020404" pitchFamily="49" charset="0"/>
              <a:cs typeface="Courier New" panose="02070309020205020404" pitchFamily="49" charset="0"/>
            </a:rPr>
            <a:t>       clerical  |  -.9413243   .1141781    -8.24   0.000    -1.165109   -.7175392</a:t>
          </a:r>
        </a:p>
        <a:p>
          <a:r>
            <a:rPr lang="en-US" sz="900" baseline="0">
              <a:latin typeface="Courier New" panose="02070309020205020404" pitchFamily="49" charset="0"/>
              <a:cs typeface="Courier New" panose="02070309020205020404" pitchFamily="49" charset="0"/>
            </a:rPr>
            <a:t>sales &amp; service  |   .3304812   .0778366     4.25   0.000     .1779243    .4830382</a:t>
          </a:r>
        </a:p>
        <a:p>
          <a:r>
            <a:rPr lang="en-US" sz="900" baseline="0">
              <a:latin typeface="Courier New" panose="02070309020205020404" pitchFamily="49" charset="0"/>
              <a:cs typeface="Courier New" panose="02070309020205020404" pitchFamily="49" charset="0"/>
            </a:rPr>
            <a:t>         manual  |   .8772682   .0692423    12.67   0.000     .7415559    1.012981</a:t>
          </a:r>
        </a:p>
        <a:p>
          <a:r>
            <a:rPr lang="en-US" sz="900" baseline="0">
              <a:latin typeface="Courier New" panose="02070309020205020404" pitchFamily="49" charset="0"/>
              <a:cs typeface="Courier New" panose="02070309020205020404" pitchFamily="49" charset="0"/>
            </a:rPr>
            <a:t>   agricultural  |   1.409004   .0670095    21.03   0.000     1.277668     1.54034</a:t>
          </a:r>
        </a:p>
        <a:p>
          <a:r>
            <a:rPr lang="en-US" sz="900" baseline="0">
              <a:latin typeface="Courier New" panose="02070309020205020404" pitchFamily="49" charset="0"/>
              <a:cs typeface="Courier New" panose="02070309020205020404" pitchFamily="49" charset="0"/>
            </a:rPr>
            <a:t>                 |</a:t>
          </a:r>
        </a:p>
        <a:p>
          <a:r>
            <a:rPr lang="en-US" sz="900" baseline="0">
              <a:latin typeface="Courier New" panose="02070309020205020404" pitchFamily="49" charset="0"/>
              <a:cs typeface="Courier New" panose="02070309020205020404" pitchFamily="49" charset="0"/>
            </a:rPr>
            <a:t>   main_diagonal |   1.268173   .0414245    30.61   0.000     1.186982    1.349363</a:t>
          </a:r>
        </a:p>
        <a:p>
          <a:r>
            <a:rPr lang="en-US" sz="900" baseline="0">
              <a:latin typeface="Courier New" panose="02070309020205020404" pitchFamily="49" charset="0"/>
              <a:cs typeface="Courier New" panose="02070309020205020404" pitchFamily="49" charset="0"/>
            </a:rPr>
            <a:t>           _cons |   2.994442   .0773601    38.71   0.000     2.842819    3.146065</a:t>
          </a:r>
        </a:p>
        <a:p>
          <a:r>
            <a:rPr lang="en-US" sz="900" baseline="0">
              <a:latin typeface="Courier New" panose="02070309020205020404" pitchFamily="49" charset="0"/>
              <a:cs typeface="Courier New" panose="02070309020205020404" pitchFamily="49" charset="0"/>
            </a:rPr>
            <a:t>----------------------------------------------------------------------------------</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poisgof</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Deviance goodness-of-fit =   179.715</a:t>
          </a:r>
        </a:p>
        <a:p>
          <a:r>
            <a:rPr lang="en-US" sz="900" baseline="0">
              <a:latin typeface="Courier New" panose="02070309020205020404" pitchFamily="49" charset="0"/>
              <a:cs typeface="Courier New" panose="02070309020205020404" pitchFamily="49" charset="0"/>
            </a:rPr>
            <a:t>         Prob &gt; chi2(24)          =    0.0000</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Pearson goodness-of-fit  =  204.8193</a:t>
          </a:r>
        </a:p>
        <a:p>
          <a:r>
            <a:rPr lang="en-US" sz="900" baseline="0">
              <a:latin typeface="Courier New" panose="02070309020205020404" pitchFamily="49" charset="0"/>
              <a:cs typeface="Courier New" panose="02070309020205020404" pitchFamily="49" charset="0"/>
            </a:rPr>
            <a:t>         Prob &gt; chi2(24)          =    0.0000</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predict main_diagonal_model</a:t>
          </a:r>
        </a:p>
        <a:p>
          <a:r>
            <a:rPr lang="en-US" sz="900" baseline="0">
              <a:latin typeface="Courier New" panose="02070309020205020404" pitchFamily="49" charset="0"/>
              <a:cs typeface="Courier New" panose="02070309020205020404" pitchFamily="49" charset="0"/>
            </a:rPr>
            <a:t>(option n assumed; predicted number of events)</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gen ID_main_diagonal=(50/4501)*(abs(count- main_diagonal_model ))</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table fathers_occ6 childs_occ6, contents(sum ID_main_diagonal ) row col cellwidth(8)</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note: cellwidth too small, variable name truncated;</a:t>
          </a:r>
        </a:p>
        <a:p>
          <a:r>
            <a:rPr lang="en-US" sz="900" baseline="0">
              <a:latin typeface="Courier New" panose="02070309020205020404" pitchFamily="49" charset="0"/>
              <a:cs typeface="Courier New" panose="02070309020205020404" pitchFamily="49" charset="0"/>
            </a:rPr>
            <a:t>      to increase cellwidth, specify cellwidth(#)</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                             childs_occ6                             </a:t>
          </a:r>
        </a:p>
        <a:p>
          <a:r>
            <a:rPr lang="en-US" sz="900" baseline="0">
              <a:latin typeface="Courier New" panose="02070309020205020404" pitchFamily="49" charset="0"/>
              <a:cs typeface="Courier New" panose="02070309020205020404" pitchFamily="49" charset="0"/>
            </a:rPr>
            <a:t>   fathers_occ6 | professi     cadre  clerical  sales &amp;     manual  agricult     Total</a:t>
          </a: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professional |  .155469   .026003   .002309   .124452   .144141   .141436    .59381</a:t>
          </a:r>
        </a:p>
        <a:p>
          <a:r>
            <a:rPr lang="en-US" sz="900" baseline="0">
              <a:latin typeface="Courier New" panose="02070309020205020404" pitchFamily="49" charset="0"/>
              <a:cs typeface="Courier New" panose="02070309020205020404" pitchFamily="49" charset="0"/>
            </a:rPr>
            <a:t>          cadre |  .241786   .099239    .12716   .024337   .008618   .302662   .803802</a:t>
          </a:r>
        </a:p>
        <a:p>
          <a:r>
            <a:rPr lang="en-US" sz="900" baseline="0">
              <a:latin typeface="Courier New" panose="02070309020205020404" pitchFamily="49" charset="0"/>
              <a:cs typeface="Courier New" panose="02070309020205020404" pitchFamily="49" charset="0"/>
            </a:rPr>
            <a:t>       clerical |  .080827   .012053   .014701   .015078   .064801   .127902   .315362</a:t>
          </a:r>
        </a:p>
        <a:p>
          <a:r>
            <a:rPr lang="en-US" sz="900" baseline="0">
              <a:latin typeface="Courier New" panose="02070309020205020404" pitchFamily="49" charset="0"/>
              <a:cs typeface="Courier New" panose="02070309020205020404" pitchFamily="49" charset="0"/>
            </a:rPr>
            <a:t>sales &amp; service |  .078761   .098165   .015039   .110099   .126245   .208111    .63642</a:t>
          </a:r>
        </a:p>
        <a:p>
          <a:r>
            <a:rPr lang="en-US" sz="900" baseline="0">
              <a:latin typeface="Courier New" panose="02070309020205020404" pitchFamily="49" charset="0"/>
              <a:cs typeface="Courier New" panose="02070309020205020404" pitchFamily="49" charset="0"/>
            </a:rPr>
            <a:t>         manual |  .141713   .084299   .111437   .330346   .534198   .133597   1.33559</a:t>
          </a:r>
        </a:p>
        <a:p>
          <a:r>
            <a:rPr lang="en-US" sz="900" baseline="0">
              <a:latin typeface="Courier New" panose="02070309020205020404" pitchFamily="49" charset="0"/>
              <a:cs typeface="Courier New" panose="02070309020205020404" pitchFamily="49" charset="0"/>
            </a:rPr>
            <a:t>   agricultural |  .387616   .121281   .241244   .353958   .190392   .913708    2.2082</a:t>
          </a:r>
        </a:p>
        <a:p>
          <a:r>
            <a:rPr lang="en-US" sz="900" baseline="0">
              <a:latin typeface="Courier New" panose="02070309020205020404" pitchFamily="49" charset="0"/>
              <a:cs typeface="Courier New" panose="02070309020205020404" pitchFamily="49" charset="0"/>
            </a:rPr>
            <a:t>                | </a:t>
          </a:r>
        </a:p>
        <a:p>
          <a:r>
            <a:rPr lang="en-US" sz="900" baseline="0">
              <a:latin typeface="Courier New" panose="02070309020205020404" pitchFamily="49" charset="0"/>
              <a:cs typeface="Courier New" panose="02070309020205020404" pitchFamily="49" charset="0"/>
            </a:rPr>
            <a:t>          Total |  1.08617    .44104    .51189    .95827    1.0684   1.82741   5.89318</a:t>
          </a:r>
        </a:p>
        <a:p>
          <a:r>
            <a:rPr lang="en-US" sz="900" baseline="0">
              <a:latin typeface="Courier New" panose="02070309020205020404" pitchFamily="49" charset="0"/>
              <a:cs typeface="Courier New" panose="02070309020205020404" pitchFamily="49" charset="0"/>
            </a:rPr>
            <a:t>--------------------------------------------------------------------------------------</a:t>
          </a: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Now on to quasi-independence, or indep+main diagonal categorical.</a:t>
          </a: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poisson count i.fathers_occ6 i.childs_occ6 i.main_diagonal_each</a:t>
          </a: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Poisson regression                                Number of obs   =         36</a:t>
          </a:r>
        </a:p>
        <a:p>
          <a:r>
            <a:rPr lang="en-US" sz="900" baseline="0">
              <a:latin typeface="Courier New" panose="02070309020205020404" pitchFamily="49" charset="0"/>
              <a:cs typeface="Courier New" panose="02070309020205020404" pitchFamily="49" charset="0"/>
            </a:rPr>
            <a:t>                                                  LR chi2(16)     =   14204.25</a:t>
          </a:r>
        </a:p>
        <a:p>
          <a:r>
            <a:rPr lang="en-US" sz="900" baseline="0">
              <a:latin typeface="Courier New" panose="02070309020205020404" pitchFamily="49" charset="0"/>
              <a:cs typeface="Courier New" panose="02070309020205020404" pitchFamily="49" charset="0"/>
            </a:rPr>
            <a:t>                                                  Prob &gt; chi2     =     0.0000</a:t>
          </a:r>
        </a:p>
        <a:p>
          <a:r>
            <a:rPr lang="en-US" sz="900" baseline="0">
              <a:latin typeface="Courier New" panose="02070309020205020404" pitchFamily="49" charset="0"/>
              <a:cs typeface="Courier New" panose="02070309020205020404" pitchFamily="49" charset="0"/>
            </a:rPr>
            <a:t>Log likelihood = -124.70833                       Pseudo R2       =     0.9827</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count |      Coef.   Std. Err.      z    P&gt;|z|     [95% Conf. Interval]</a:t>
          </a: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fathers_occ6 |</a:t>
          </a:r>
        </a:p>
        <a:p>
          <a:r>
            <a:rPr lang="en-US" sz="900" baseline="0">
              <a:latin typeface="Courier New" panose="02070309020205020404" pitchFamily="49" charset="0"/>
              <a:cs typeface="Courier New" panose="02070309020205020404" pitchFamily="49" charset="0"/>
            </a:rPr>
            <a:t>            cadre  |  -.3654428   .1119211    -3.27   0.001    -.5848041   -.1460814</a:t>
          </a:r>
        </a:p>
        <a:p>
          <a:r>
            <a:rPr lang="en-US" sz="900" baseline="0">
              <a:latin typeface="Courier New" panose="02070309020205020404" pitchFamily="49" charset="0"/>
              <a:cs typeface="Courier New" panose="02070309020205020404" pitchFamily="49" charset="0"/>
            </a:rPr>
            <a:t>         clerical  |  -1.165156   .1450919    -8.03   0.000    -1.449531   -.8807807</a:t>
          </a:r>
        </a:p>
        <a:p>
          <a:r>
            <a:rPr lang="en-US" sz="900" baseline="0">
              <a:latin typeface="Courier New" panose="02070309020205020404" pitchFamily="49" charset="0"/>
              <a:cs typeface="Courier New" panose="02070309020205020404" pitchFamily="49" charset="0"/>
            </a:rPr>
            <a:t>  sales &amp; service  |  -.4946232   .1212487    -4.08   0.000    -.7322662   -.2569801</a:t>
          </a:r>
        </a:p>
        <a:p>
          <a:r>
            <a:rPr lang="en-US" sz="900" baseline="0">
              <a:latin typeface="Courier New" panose="02070309020205020404" pitchFamily="49" charset="0"/>
              <a:cs typeface="Courier New" panose="02070309020205020404" pitchFamily="49" charset="0"/>
            </a:rPr>
            <a:t>           manual  |   .7057022   .0962446     7.33   0.000     .5170663    .8943381</a:t>
          </a:r>
        </a:p>
        <a:p>
          <a:r>
            <a:rPr lang="en-US" sz="900" baseline="0">
              <a:latin typeface="Courier New" panose="02070309020205020404" pitchFamily="49" charset="0"/>
              <a:cs typeface="Courier New" panose="02070309020205020404" pitchFamily="49" charset="0"/>
            </a:rPr>
            <a:t>     agricultural  |   1.689072    .084291    20.04   0.000     1.523865    1.854279</a:t>
          </a:r>
        </a:p>
        <a:p>
          <a:r>
            <a:rPr lang="en-US" sz="900" baseline="0">
              <a:latin typeface="Courier New" panose="02070309020205020404" pitchFamily="49" charset="0"/>
              <a:cs typeface="Courier New" panose="02070309020205020404" pitchFamily="49" charset="0"/>
            </a:rPr>
            <a:t>                   |</a:t>
          </a:r>
        </a:p>
        <a:p>
          <a:r>
            <a:rPr lang="en-US" sz="900" baseline="0">
              <a:latin typeface="Courier New" panose="02070309020205020404" pitchFamily="49" charset="0"/>
              <a:cs typeface="Courier New" panose="02070309020205020404" pitchFamily="49" charset="0"/>
            </a:rPr>
            <a:t>       childs_occ6 |</a:t>
          </a:r>
        </a:p>
        <a:p>
          <a:r>
            <a:rPr lang="en-US" sz="900" baseline="0">
              <a:latin typeface="Courier New" panose="02070309020205020404" pitchFamily="49" charset="0"/>
              <a:cs typeface="Courier New" panose="02070309020205020404" pitchFamily="49" charset="0"/>
            </a:rPr>
            <a:t>            cadre  |  -.8200785   .1144469    -7.17   0.000     -1.04439   -.5957668</a:t>
          </a:r>
        </a:p>
        <a:p>
          <a:r>
            <a:rPr lang="en-US" sz="900" baseline="0">
              <a:latin typeface="Courier New" panose="02070309020205020404" pitchFamily="49" charset="0"/>
              <a:cs typeface="Courier New" panose="02070309020205020404" pitchFamily="49" charset="0"/>
            </a:rPr>
            <a:t>         clerical  |  -1.003863   .1202253    -8.35   0.000    -1.239501   -.7682259</a:t>
          </a:r>
        </a:p>
        <a:p>
          <a:r>
            <a:rPr lang="en-US" sz="900" baseline="0">
              <a:latin typeface="Courier New" panose="02070309020205020404" pitchFamily="49" charset="0"/>
              <a:cs typeface="Courier New" panose="02070309020205020404" pitchFamily="49" charset="0"/>
            </a:rPr>
            <a:t>  sales &amp; service  |   .2931219   .0841195     3.48   0.000     .1282506    .4579932</a:t>
          </a:r>
        </a:p>
        <a:p>
          <a:r>
            <a:rPr lang="en-US" sz="900" baseline="0">
              <a:latin typeface="Courier New" panose="02070309020205020404" pitchFamily="49" charset="0"/>
              <a:cs typeface="Courier New" panose="02070309020205020404" pitchFamily="49" charset="0"/>
            </a:rPr>
            <a:t>           manual  |   .9674598   .0781099    12.39   0.000     .8143673    1.120552</a:t>
          </a:r>
        </a:p>
        <a:p>
          <a:r>
            <a:rPr lang="en-US" sz="900" baseline="0">
              <a:latin typeface="Courier New" panose="02070309020205020404" pitchFamily="49" charset="0"/>
              <a:cs typeface="Courier New" panose="02070309020205020404" pitchFamily="49" charset="0"/>
            </a:rPr>
            <a:t>     agricultural  |   .7615453   .0945208     8.06   0.000     .5762879    .9468027</a:t>
          </a:r>
        </a:p>
        <a:p>
          <a:r>
            <a:rPr lang="en-US" sz="900" baseline="0">
              <a:latin typeface="Courier New" panose="02070309020205020404" pitchFamily="49" charset="0"/>
              <a:cs typeface="Courier New" panose="02070309020205020404" pitchFamily="49" charset="0"/>
            </a:rPr>
            <a:t>                   |</a:t>
          </a:r>
        </a:p>
        <a:p>
          <a:r>
            <a:rPr lang="en-US" sz="900" baseline="0">
              <a:latin typeface="Courier New" panose="02070309020205020404" pitchFamily="49" charset="0"/>
              <a:cs typeface="Courier New" panose="02070309020205020404" pitchFamily="49" charset="0"/>
            </a:rPr>
            <a:t>main_diagonal_each |</a:t>
          </a:r>
        </a:p>
        <a:p>
          <a:r>
            <a:rPr lang="en-US" sz="900" baseline="0">
              <a:latin typeface="Courier New" panose="02070309020205020404" pitchFamily="49" charset="0"/>
              <a:cs typeface="Courier New" panose="02070309020205020404" pitchFamily="49" charset="0"/>
            </a:rPr>
            <a:t>                1  |   .7410683   .1669636     4.44   0.000     .4138257    1.068311</a:t>
          </a:r>
        </a:p>
        <a:p>
          <a:r>
            <a:rPr lang="en-US" sz="900" baseline="0">
              <a:latin typeface="Courier New" panose="02070309020205020404" pitchFamily="49" charset="0"/>
              <a:cs typeface="Courier New" panose="02070309020205020404" pitchFamily="49" charset="0"/>
            </a:rPr>
            <a:t>                2  |   .4484877   .3062014     1.46   0.143    -.1516559    1.048631</a:t>
          </a:r>
        </a:p>
        <a:p>
          <a:r>
            <a:rPr lang="en-US" sz="900" baseline="0">
              <a:latin typeface="Courier New" panose="02070309020205020404" pitchFamily="49" charset="0"/>
              <a:cs typeface="Courier New" panose="02070309020205020404" pitchFamily="49" charset="0"/>
            </a:rPr>
            <a:t>                3  |   .9464775   .3894826     2.43   0.015     .1831056    1.709849</a:t>
          </a:r>
        </a:p>
        <a:p>
          <a:r>
            <a:rPr lang="en-US" sz="900" baseline="0">
              <a:latin typeface="Courier New" panose="02070309020205020404" pitchFamily="49" charset="0"/>
              <a:cs typeface="Courier New" panose="02070309020205020404" pitchFamily="49" charset="0"/>
            </a:rPr>
            <a:t>                4  |   .7913386   .1828914     4.33   0.000      .432878    1.149799</a:t>
          </a:r>
        </a:p>
        <a:p>
          <a:r>
            <a:rPr lang="en-US" sz="900" baseline="0">
              <a:latin typeface="Courier New" panose="02070309020205020404" pitchFamily="49" charset="0"/>
              <a:cs typeface="Courier New" panose="02070309020205020404" pitchFamily="49" charset="0"/>
            </a:rPr>
            <a:t>                5  |   .4886868      .1051     4.65   0.000     .2826947     .694679</a:t>
          </a:r>
        </a:p>
        <a:p>
          <a:r>
            <a:rPr lang="en-US" sz="900" baseline="0">
              <a:latin typeface="Courier New" panose="02070309020205020404" pitchFamily="49" charset="0"/>
              <a:cs typeface="Courier New" panose="02070309020205020404" pitchFamily="49" charset="0"/>
            </a:rPr>
            <a:t>                6  |   2.069444   .0855322    24.19   0.000     1.901804    2.237084</a:t>
          </a:r>
        </a:p>
        <a:p>
          <a:r>
            <a:rPr lang="en-US" sz="900" baseline="0">
              <a:latin typeface="Courier New" panose="02070309020205020404" pitchFamily="49" charset="0"/>
              <a:cs typeface="Courier New" panose="02070309020205020404" pitchFamily="49" charset="0"/>
            </a:rPr>
            <a:t>                   |</a:t>
          </a:r>
        </a:p>
        <a:p>
          <a:r>
            <a:rPr lang="en-US" sz="900" baseline="0">
              <a:latin typeface="Courier New" panose="02070309020205020404" pitchFamily="49" charset="0"/>
              <a:cs typeface="Courier New" panose="02070309020205020404" pitchFamily="49" charset="0"/>
            </a:rPr>
            <a:t>             _cons |   3.301983   .1016513    32.48   0.000      3.10275    3.501216</a:t>
          </a:r>
        </a:p>
        <a:p>
          <a:r>
            <a:rPr lang="en-US" sz="900" baseline="0">
              <a:latin typeface="Courier New" panose="02070309020205020404" pitchFamily="49" charset="0"/>
              <a:cs typeface="Courier New" panose="02070309020205020404" pitchFamily="49" charset="0"/>
            </a:rPr>
            <a:t>------------------------------------------------------------------------------------</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*Note which category has the strongest occupational stickiness, or non-mobility: category 6, the agricultural workers.</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poisgof</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Deviance goodness-of-fit =  54.39322</a:t>
          </a:r>
        </a:p>
        <a:p>
          <a:r>
            <a:rPr lang="en-US" sz="900" baseline="0">
              <a:latin typeface="Courier New" panose="02070309020205020404" pitchFamily="49" charset="0"/>
              <a:cs typeface="Courier New" panose="02070309020205020404" pitchFamily="49" charset="0"/>
            </a:rPr>
            <a:t>         Prob &gt; chi2(19)          =    0.0000</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Pearson goodness-of-fit  =  62.81733</a:t>
          </a:r>
        </a:p>
        <a:p>
          <a:r>
            <a:rPr lang="en-US" sz="900" baseline="0">
              <a:latin typeface="Courier New" panose="02070309020205020404" pitchFamily="49" charset="0"/>
              <a:cs typeface="Courier New" panose="02070309020205020404" pitchFamily="49" charset="0"/>
            </a:rPr>
            <a:t>         Prob &gt; chi2(19)          =    0.0000</a:t>
          </a: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predict quasi_indep</a:t>
          </a:r>
        </a:p>
        <a:p>
          <a:r>
            <a:rPr lang="en-US" sz="900">
              <a:latin typeface="Courier New" panose="02070309020205020404" pitchFamily="49" charset="0"/>
              <a:cs typeface="Courier New" panose="02070309020205020404" pitchFamily="49" charset="0"/>
            </a:rPr>
            <a:t>(option n assumed; predicted number of events)</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 gen ID_quasi_indep=(50/4501)*(abs(count- quasi_indep ))</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 table fathers_occ6 childs_occ6, contents(sum ID_quasi_indep ) row col cellwidth(8)</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note: cellwidth too small, variable name truncated;</a:t>
          </a:r>
        </a:p>
        <a:p>
          <a:r>
            <a:rPr lang="en-US" sz="900">
              <a:latin typeface="Courier New" panose="02070309020205020404" pitchFamily="49" charset="0"/>
              <a:cs typeface="Courier New" panose="02070309020205020404" pitchFamily="49" charset="0"/>
            </a:rPr>
            <a:t>      to increase cellwidth, specify cellwidth(#)</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a:t>
          </a:r>
        </a:p>
        <a:p>
          <a:r>
            <a:rPr lang="en-US" sz="900">
              <a:latin typeface="Courier New" panose="02070309020205020404" pitchFamily="49" charset="0"/>
              <a:cs typeface="Courier New" panose="02070309020205020404" pitchFamily="49" charset="0"/>
            </a:rPr>
            <a:t>                |                             childs_occ6                             </a:t>
          </a:r>
        </a:p>
        <a:p>
          <a:r>
            <a:rPr lang="en-US" sz="900">
              <a:latin typeface="Courier New" panose="02070309020205020404" pitchFamily="49" charset="0"/>
              <a:cs typeface="Courier New" panose="02070309020205020404" pitchFamily="49" charset="0"/>
            </a:rPr>
            <a:t>   fathers_occ6 | professi     cadre  clerical  sales &amp;     manual  agricult     Total</a:t>
          </a:r>
        </a:p>
        <a:p>
          <a:r>
            <a:rPr lang="en-US" sz="900">
              <a:latin typeface="Courier New" panose="02070309020205020404" pitchFamily="49" charset="0"/>
              <a:cs typeface="Courier New" panose="02070309020205020404" pitchFamily="49" charset="0"/>
            </a:rPr>
            <a:t>----------------+---------------------------------------------------------------------</a:t>
          </a:r>
        </a:p>
        <a:p>
          <a:r>
            <a:rPr lang="en-US" sz="900">
              <a:latin typeface="Courier New" panose="02070309020205020404" pitchFamily="49" charset="0"/>
              <a:cs typeface="Courier New" panose="02070309020205020404" pitchFamily="49" charset="0"/>
            </a:rPr>
            <a:t>   professional |        0   .010709   .021722   .028666   .116438   .120204    .29774</a:t>
          </a:r>
        </a:p>
        <a:p>
          <a:r>
            <a:rPr lang="en-US" sz="900">
              <a:latin typeface="Courier New" panose="02070309020205020404" pitchFamily="49" charset="0"/>
              <a:cs typeface="Courier New" panose="02070309020205020404" pitchFamily="49" charset="0"/>
            </a:rPr>
            <a:t>          cadre |  .190508         0   .112109   .036338   .162191   .104087   .605232</a:t>
          </a:r>
        </a:p>
        <a:p>
          <a:r>
            <a:rPr lang="en-US" sz="900">
              <a:latin typeface="Courier New" panose="02070309020205020404" pitchFamily="49" charset="0"/>
              <a:cs typeface="Courier New" panose="02070309020205020404" pitchFamily="49" charset="0"/>
            </a:rPr>
            <a:t>       clerical |  .061403   .002985         0   .037306   .003258   .023824   .128776</a:t>
          </a:r>
        </a:p>
        <a:p>
          <a:r>
            <a:rPr lang="en-US" sz="900">
              <a:latin typeface="Courier New" panose="02070309020205020404" pitchFamily="49" charset="0"/>
              <a:cs typeface="Courier New" panose="02070309020205020404" pitchFamily="49" charset="0"/>
            </a:rPr>
            <a:t>sales &amp; service |  .027037   .074476   .000787         0   .039876    .06085   .203026</a:t>
          </a:r>
        </a:p>
        <a:p>
          <a:r>
            <a:rPr lang="en-US" sz="900">
              <a:latin typeface="Courier New" panose="02070309020205020404" pitchFamily="49" charset="0"/>
              <a:cs typeface="Courier New" panose="02070309020205020404" pitchFamily="49" charset="0"/>
            </a:rPr>
            <a:t>         manual |  .100193   .024776   .031521   .024891         0   .068557   .249938</a:t>
          </a:r>
        </a:p>
        <a:p>
          <a:r>
            <a:rPr lang="en-US" sz="900">
              <a:latin typeface="Courier New" panose="02070309020205020404" pitchFamily="49" charset="0"/>
              <a:cs typeface="Courier New" panose="02070309020205020404" pitchFamily="49" charset="0"/>
            </a:rPr>
            <a:t>   agricultural |  .178755   .041976   .121121   .020087   .321764         0   .683702</a:t>
          </a:r>
        </a:p>
        <a:p>
          <a:r>
            <a:rPr lang="en-US" sz="900">
              <a:latin typeface="Courier New" panose="02070309020205020404" pitchFamily="49" charset="0"/>
              <a:cs typeface="Courier New" panose="02070309020205020404" pitchFamily="49" charset="0"/>
            </a:rPr>
            <a:t>                | </a:t>
          </a:r>
        </a:p>
        <a:p>
          <a:r>
            <a:rPr lang="en-US" sz="900">
              <a:latin typeface="Courier New" panose="02070309020205020404" pitchFamily="49" charset="0"/>
              <a:cs typeface="Courier New" panose="02070309020205020404" pitchFamily="49" charset="0"/>
            </a:rPr>
            <a:t>          Total |  .557895   .154922    .28726   .147288   .643528   .377522   2.16842</a:t>
          </a:r>
        </a:p>
        <a:p>
          <a:r>
            <a:rPr lang="en-US" sz="900">
              <a:latin typeface="Courier New" panose="02070309020205020404" pitchFamily="49" charset="0"/>
              <a:cs typeface="Courier New" panose="02070309020205020404" pitchFamily="49" charset="0"/>
            </a:rPr>
            <a:t>--------------------------------------------------------------------------------------</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 Where the model fits exactly, the cells make no contribution to the ID statistic.</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*Now on to Quasi-symmetry.</a:t>
          </a:r>
          <a:r>
            <a:rPr lang="en-US" sz="900" baseline="0">
              <a:latin typeface="Courier New" panose="02070309020205020404" pitchFamily="49" charset="0"/>
              <a:cs typeface="Courier New" panose="02070309020205020404" pitchFamily="49" charset="0"/>
            </a:rPr>
            <a:t> Create symmetric off-diagonal terms, it doesn matter what the values are as long as they are unique- we are going to be treating these values as categorical.</a:t>
          </a:r>
        </a:p>
        <a:p>
          <a:endParaRPr lang="en-US" sz="900" baseline="0">
            <a:latin typeface="Courier New" panose="02070309020205020404" pitchFamily="49" charset="0"/>
            <a:cs typeface="Courier New" panose="02070309020205020404" pitchFamily="49" charset="0"/>
          </a:endParaRP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 gen byte QS=0</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 replace QS= (childs_occ6*10)+ fathers_occ6 if fathers_occ6&gt; childs_occ6</a:t>
          </a:r>
        </a:p>
        <a:p>
          <a:r>
            <a:rPr lang="en-US" sz="900">
              <a:latin typeface="Courier New" panose="02070309020205020404" pitchFamily="49" charset="0"/>
              <a:cs typeface="Courier New" panose="02070309020205020404" pitchFamily="49" charset="0"/>
            </a:rPr>
            <a:t>(15 real changes made)</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 replace QS=( fathers_occ6*10)+ childs_occ6 if childs_occ6&gt; fathers_occ6</a:t>
          </a:r>
        </a:p>
        <a:p>
          <a:r>
            <a:rPr lang="en-US" sz="900">
              <a:latin typeface="Courier New" panose="02070309020205020404" pitchFamily="49" charset="0"/>
              <a:cs typeface="Courier New" panose="02070309020205020404" pitchFamily="49" charset="0"/>
            </a:rPr>
            <a:t>(15 real changes made)</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 table fathers_occ6 childs_occ6, contents(mean QS) cellwidth(8)</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a:t>
          </a:r>
        </a:p>
        <a:p>
          <a:r>
            <a:rPr lang="en-US" sz="900">
              <a:latin typeface="Courier New" panose="02070309020205020404" pitchFamily="49" charset="0"/>
              <a:cs typeface="Courier New" panose="02070309020205020404" pitchFamily="49" charset="0"/>
            </a:rPr>
            <a:t>                |                        childs_occ6                        </a:t>
          </a:r>
        </a:p>
        <a:p>
          <a:r>
            <a:rPr lang="en-US" sz="900">
              <a:latin typeface="Courier New" panose="02070309020205020404" pitchFamily="49" charset="0"/>
              <a:cs typeface="Courier New" panose="02070309020205020404" pitchFamily="49" charset="0"/>
            </a:rPr>
            <a:t>   fathers_occ6 | professi     cadre  clerical  sales &amp;     manual  agricult</a:t>
          </a:r>
        </a:p>
        <a:p>
          <a:r>
            <a:rPr lang="en-US" sz="900">
              <a:latin typeface="Courier New" panose="02070309020205020404" pitchFamily="49" charset="0"/>
              <a:cs typeface="Courier New" panose="02070309020205020404" pitchFamily="49" charset="0"/>
            </a:rPr>
            <a:t>----------------+-----------------------------------------------------------</a:t>
          </a:r>
        </a:p>
        <a:p>
          <a:r>
            <a:rPr lang="en-US" sz="900">
              <a:latin typeface="Courier New" panose="02070309020205020404" pitchFamily="49" charset="0"/>
              <a:cs typeface="Courier New" panose="02070309020205020404" pitchFamily="49" charset="0"/>
            </a:rPr>
            <a:t>   professional |        0        12        13        14        15        16</a:t>
          </a:r>
        </a:p>
        <a:p>
          <a:r>
            <a:rPr lang="en-US" sz="900">
              <a:latin typeface="Courier New" panose="02070309020205020404" pitchFamily="49" charset="0"/>
              <a:cs typeface="Courier New" panose="02070309020205020404" pitchFamily="49" charset="0"/>
            </a:rPr>
            <a:t>          cadre |       12         0        23        24        25        26</a:t>
          </a:r>
        </a:p>
        <a:p>
          <a:r>
            <a:rPr lang="en-US" sz="900">
              <a:latin typeface="Courier New" panose="02070309020205020404" pitchFamily="49" charset="0"/>
              <a:cs typeface="Courier New" panose="02070309020205020404" pitchFamily="49" charset="0"/>
            </a:rPr>
            <a:t>       clerical |       13        23         0        34        35        36</a:t>
          </a:r>
        </a:p>
        <a:p>
          <a:r>
            <a:rPr lang="en-US" sz="900">
              <a:latin typeface="Courier New" panose="02070309020205020404" pitchFamily="49" charset="0"/>
              <a:cs typeface="Courier New" panose="02070309020205020404" pitchFamily="49" charset="0"/>
            </a:rPr>
            <a:t>sales &amp; service |       14        24        34         0        45        46</a:t>
          </a:r>
        </a:p>
        <a:p>
          <a:r>
            <a:rPr lang="en-US" sz="900">
              <a:latin typeface="Courier New" panose="02070309020205020404" pitchFamily="49" charset="0"/>
              <a:cs typeface="Courier New" panose="02070309020205020404" pitchFamily="49" charset="0"/>
            </a:rPr>
            <a:t>         manual |       15        25        35        45         0        56</a:t>
          </a:r>
        </a:p>
        <a:p>
          <a:r>
            <a:rPr lang="en-US" sz="900">
              <a:latin typeface="Courier New" panose="02070309020205020404" pitchFamily="49" charset="0"/>
              <a:cs typeface="Courier New" panose="02070309020205020404" pitchFamily="49" charset="0"/>
            </a:rPr>
            <a:t>   agricultural |       16        26        36        46        56         0</a:t>
          </a:r>
        </a:p>
        <a:p>
          <a:r>
            <a:rPr lang="en-US" sz="900">
              <a:latin typeface="Courier New" panose="02070309020205020404" pitchFamily="49" charset="0"/>
              <a:cs typeface="Courier New" panose="02070309020205020404" pitchFamily="49" charset="0"/>
            </a:rPr>
            <a:t>----------------------------------------------------------------------------</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 We</a:t>
          </a:r>
          <a:r>
            <a:rPr lang="en-US" sz="900" baseline="0">
              <a:latin typeface="Courier New" panose="02070309020205020404" pitchFamily="49" charset="0"/>
              <a:cs typeface="Courier New" panose="02070309020205020404" pitchFamily="49" charset="0"/>
            </a:rPr>
            <a:t> won't get all these terms if we have the diagonal also marked out.</a:t>
          </a:r>
          <a:endParaRPr lang="en-US" sz="900">
            <a:latin typeface="Courier New" panose="02070309020205020404" pitchFamily="49" charset="0"/>
            <a:cs typeface="Courier New" panose="02070309020205020404" pitchFamily="49" charset="0"/>
          </a:endParaRP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 poisson count i.fathers_occ6 i.childs_occ6 i.main_diagonal_each i.QS</a:t>
          </a:r>
        </a:p>
        <a:p>
          <a:r>
            <a:rPr lang="en-US" sz="900">
              <a:latin typeface="Courier New" panose="02070309020205020404" pitchFamily="49" charset="0"/>
              <a:cs typeface="Courier New" panose="02070309020205020404" pitchFamily="49" charset="0"/>
            </a:rPr>
            <a:t>note: 16.QS omitted because of collinearity</a:t>
          </a:r>
        </a:p>
        <a:p>
          <a:r>
            <a:rPr lang="en-US" sz="900">
              <a:latin typeface="Courier New" panose="02070309020205020404" pitchFamily="49" charset="0"/>
              <a:cs typeface="Courier New" panose="02070309020205020404" pitchFamily="49" charset="0"/>
            </a:rPr>
            <a:t>note: 26.QS omitted because of collinearity</a:t>
          </a:r>
        </a:p>
        <a:p>
          <a:r>
            <a:rPr lang="en-US" sz="900">
              <a:latin typeface="Courier New" panose="02070309020205020404" pitchFamily="49" charset="0"/>
              <a:cs typeface="Courier New" panose="02070309020205020404" pitchFamily="49" charset="0"/>
            </a:rPr>
            <a:t>note: 36.QS omitted because of collinearity</a:t>
          </a:r>
        </a:p>
        <a:p>
          <a:r>
            <a:rPr lang="en-US" sz="900">
              <a:latin typeface="Courier New" panose="02070309020205020404" pitchFamily="49" charset="0"/>
              <a:cs typeface="Courier New" panose="02070309020205020404" pitchFamily="49" charset="0"/>
            </a:rPr>
            <a:t>note: 45.QS omitted because of collinearity</a:t>
          </a:r>
        </a:p>
        <a:p>
          <a:r>
            <a:rPr lang="en-US" sz="900">
              <a:latin typeface="Courier New" panose="02070309020205020404" pitchFamily="49" charset="0"/>
              <a:cs typeface="Courier New" panose="02070309020205020404" pitchFamily="49" charset="0"/>
            </a:rPr>
            <a:t>note: 46.QS omitted because of collinearity</a:t>
          </a:r>
        </a:p>
        <a:p>
          <a:r>
            <a:rPr lang="en-US" sz="900">
              <a:latin typeface="Courier New" panose="02070309020205020404" pitchFamily="49" charset="0"/>
              <a:cs typeface="Courier New" panose="02070309020205020404" pitchFamily="49" charset="0"/>
            </a:rPr>
            <a:t>note: 56.QS omitted because of collinearity</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 </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Poisson regression                                Number of obs   =         36</a:t>
          </a:r>
        </a:p>
        <a:p>
          <a:r>
            <a:rPr lang="en-US" sz="900">
              <a:latin typeface="Courier New" panose="02070309020205020404" pitchFamily="49" charset="0"/>
              <a:cs typeface="Courier New" panose="02070309020205020404" pitchFamily="49" charset="0"/>
            </a:rPr>
            <a:t>                                                  LR chi2(25)     =   14236.24</a:t>
          </a:r>
        </a:p>
        <a:p>
          <a:r>
            <a:rPr lang="en-US" sz="900">
              <a:latin typeface="Courier New" panose="02070309020205020404" pitchFamily="49" charset="0"/>
              <a:cs typeface="Courier New" panose="02070309020205020404" pitchFamily="49" charset="0"/>
            </a:rPr>
            <a:t>                                                  Prob &gt; chi2     =     0.0000</a:t>
          </a:r>
        </a:p>
        <a:p>
          <a:r>
            <a:rPr lang="en-US" sz="900">
              <a:latin typeface="Courier New" panose="02070309020205020404" pitchFamily="49" charset="0"/>
              <a:cs typeface="Courier New" panose="02070309020205020404" pitchFamily="49" charset="0"/>
            </a:rPr>
            <a:t>Log likelihood = -108.71391                       Pseudo R2       =     0.9850</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a:t>
          </a:r>
        </a:p>
        <a:p>
          <a:r>
            <a:rPr lang="en-US" sz="900">
              <a:latin typeface="Courier New" panose="02070309020205020404" pitchFamily="49" charset="0"/>
              <a:cs typeface="Courier New" panose="02070309020205020404" pitchFamily="49" charset="0"/>
            </a:rPr>
            <a:t>             count |      Coef.   Std. Err.      z    P&gt;|z|     [95% Conf. Interval]</a:t>
          </a:r>
        </a:p>
        <a:p>
          <a:r>
            <a:rPr lang="en-US" sz="900">
              <a:latin typeface="Courier New" panose="02070309020205020404" pitchFamily="49" charset="0"/>
              <a:cs typeface="Courier New" panose="02070309020205020404" pitchFamily="49" charset="0"/>
            </a:rPr>
            <a:t>-------------------+----------------------------------------------------------------</a:t>
          </a:r>
        </a:p>
        <a:p>
          <a:r>
            <a:rPr lang="en-US" sz="900">
              <a:latin typeface="Courier New" panose="02070309020205020404" pitchFamily="49" charset="0"/>
              <a:cs typeface="Courier New" panose="02070309020205020404" pitchFamily="49" charset="0"/>
            </a:rPr>
            <a:t>      fathers_occ6 |</a:t>
          </a:r>
        </a:p>
        <a:p>
          <a:r>
            <a:rPr lang="en-US" sz="900">
              <a:latin typeface="Courier New" panose="02070309020205020404" pitchFamily="49" charset="0"/>
              <a:cs typeface="Courier New" panose="02070309020205020404" pitchFamily="49" charset="0"/>
            </a:rPr>
            <a:t>            cadre  |    -.50853   .1627364    -3.12   0.002    -.8274875   -.1895725</a:t>
          </a:r>
        </a:p>
        <a:p>
          <a:r>
            <a:rPr lang="en-US" sz="900">
              <a:latin typeface="Courier New" panose="02070309020205020404" pitchFamily="49" charset="0"/>
              <a:cs typeface="Courier New" panose="02070309020205020404" pitchFamily="49" charset="0"/>
            </a:rPr>
            <a:t>         clerical  |  -1.365691   .2040573    -6.69   0.000    -1.765635   -.9657457</a:t>
          </a:r>
        </a:p>
        <a:p>
          <a:r>
            <a:rPr lang="en-US" sz="900">
              <a:latin typeface="Courier New" panose="02070309020205020404" pitchFamily="49" charset="0"/>
              <a:cs typeface="Courier New" panose="02070309020205020404" pitchFamily="49" charset="0"/>
            </a:rPr>
            <a:t>  sales &amp; service  |  -.4872479   .1487072    -3.28   0.001    -.7787086   -.1957872</a:t>
          </a:r>
        </a:p>
        <a:p>
          <a:r>
            <a:rPr lang="en-US" sz="900">
              <a:latin typeface="Courier New" panose="02070309020205020404" pitchFamily="49" charset="0"/>
              <a:cs typeface="Courier New" panose="02070309020205020404" pitchFamily="49" charset="0"/>
            </a:rPr>
            <a:t>           manual  |   .8132516   .1186119     6.86   0.000     .5807766    1.045727</a:t>
          </a:r>
        </a:p>
        <a:p>
          <a:r>
            <a:rPr lang="en-US" sz="900">
              <a:latin typeface="Courier New" panose="02070309020205020404" pitchFamily="49" charset="0"/>
              <a:cs typeface="Courier New" panose="02070309020205020404" pitchFamily="49" charset="0"/>
            </a:rPr>
            <a:t>     agricultural  |    1.78293   .1604915    11.11   0.000     1.468372    2.097487</a:t>
          </a:r>
        </a:p>
        <a:p>
          <a:r>
            <a:rPr lang="en-US" sz="900">
              <a:latin typeface="Courier New" panose="02070309020205020404" pitchFamily="49" charset="0"/>
              <a:cs typeface="Courier New" panose="02070309020205020404" pitchFamily="49" charset="0"/>
            </a:rPr>
            <a:t>                   |</a:t>
          </a:r>
        </a:p>
        <a:p>
          <a:r>
            <a:rPr lang="en-US" sz="900">
              <a:latin typeface="Courier New" panose="02070309020205020404" pitchFamily="49" charset="0"/>
              <a:cs typeface="Courier New" panose="02070309020205020404" pitchFamily="49" charset="0"/>
            </a:rPr>
            <a:t>       childs_occ6 |</a:t>
          </a:r>
        </a:p>
        <a:p>
          <a:r>
            <a:rPr lang="en-US" sz="900">
              <a:latin typeface="Courier New" panose="02070309020205020404" pitchFamily="49" charset="0"/>
              <a:cs typeface="Courier New" panose="02070309020205020404" pitchFamily="49" charset="0"/>
            </a:rPr>
            <a:t>            cadre  |  -.9076598   .1371606    -6.62   0.000     -1.17649     -.63883</a:t>
          </a:r>
        </a:p>
        <a:p>
          <a:r>
            <a:rPr lang="en-US" sz="900">
              <a:latin typeface="Courier New" panose="02070309020205020404" pitchFamily="49" charset="0"/>
              <a:cs typeface="Courier New" panose="02070309020205020404" pitchFamily="49" charset="0"/>
            </a:rPr>
            <a:t>         clerical  |  -1.168242   .1559026    -7.49   0.000    -1.473806   -.8626789</a:t>
          </a:r>
        </a:p>
        <a:p>
          <a:r>
            <a:rPr lang="en-US" sz="900">
              <a:latin typeface="Courier New" panose="02070309020205020404" pitchFamily="49" charset="0"/>
              <a:cs typeface="Courier New" panose="02070309020205020404" pitchFamily="49" charset="0"/>
            </a:rPr>
            <a:t>  sales &amp; service  |   .3054261   .1020642     2.99   0.003     .1053839    .5054683</a:t>
          </a:r>
        </a:p>
        <a:p>
          <a:r>
            <a:rPr lang="en-US" sz="900">
              <a:latin typeface="Courier New" panose="02070309020205020404" pitchFamily="49" charset="0"/>
              <a:cs typeface="Courier New" panose="02070309020205020404" pitchFamily="49" charset="0"/>
            </a:rPr>
            <a:t>           manual  |   1.057043   .0886652    11.92   0.000     .8832625    1.230824</a:t>
          </a:r>
        </a:p>
        <a:p>
          <a:r>
            <a:rPr lang="en-US" sz="900">
              <a:latin typeface="Courier New" panose="02070309020205020404" pitchFamily="49" charset="0"/>
              <a:cs typeface="Courier New" panose="02070309020205020404" pitchFamily="49" charset="0"/>
            </a:rPr>
            <a:t>     agricultural  |   .8663049   .1555748     5.57   0.000     .5613839    1.171226</a:t>
          </a:r>
        </a:p>
        <a:p>
          <a:r>
            <a:rPr lang="en-US" sz="900">
              <a:latin typeface="Courier New" panose="02070309020205020404" pitchFamily="49" charset="0"/>
              <a:cs typeface="Courier New" panose="02070309020205020404" pitchFamily="49" charset="0"/>
            </a:rPr>
            <a:t>                   |</a:t>
          </a:r>
        </a:p>
        <a:p>
          <a:r>
            <a:rPr lang="en-US" sz="900">
              <a:latin typeface="Courier New" panose="02070309020205020404" pitchFamily="49" charset="0"/>
              <a:cs typeface="Courier New" panose="02070309020205020404" pitchFamily="49" charset="0"/>
            </a:rPr>
            <a:t>main_diagonal_each |</a:t>
          </a:r>
        </a:p>
        <a:p>
          <a:r>
            <a:rPr lang="en-US" sz="900">
              <a:latin typeface="Courier New" panose="02070309020205020404" pitchFamily="49" charset="0"/>
              <a:cs typeface="Courier New" panose="02070309020205020404" pitchFamily="49" charset="0"/>
            </a:rPr>
            <a:t>                1  |   .8640403   .2352877     3.67   0.000     .4028849    1.325196</a:t>
          </a:r>
        </a:p>
        <a:p>
          <a:r>
            <a:rPr lang="en-US" sz="900">
              <a:latin typeface="Courier New" panose="02070309020205020404" pitchFamily="49" charset="0"/>
              <a:cs typeface="Courier New" panose="02070309020205020404" pitchFamily="49" charset="0"/>
            </a:rPr>
            <a:t>                2  |   .8021282   .3713383     2.16   0.031     .0743186    1.529938</a:t>
          </a:r>
        </a:p>
        <a:p>
          <a:r>
            <a:rPr lang="en-US" sz="900">
              <a:latin typeface="Courier New" panose="02070309020205020404" pitchFamily="49" charset="0"/>
              <a:cs typeface="Courier New" panose="02070309020205020404" pitchFamily="49" charset="0"/>
            </a:rPr>
            <a:t>                3  |   1.434363   .4644468     3.09   0.002     .5240644    2.344663</a:t>
          </a:r>
        </a:p>
        <a:p>
          <a:r>
            <a:rPr lang="en-US" sz="900">
              <a:latin typeface="Courier New" panose="02070309020205020404" pitchFamily="49" charset="0"/>
              <a:cs typeface="Courier New" panose="02070309020205020404" pitchFamily="49" charset="0"/>
            </a:rPr>
            <a:t>                4  |   .8946311   .1962874     4.56   0.000     .5099149    1.279347</a:t>
          </a:r>
        </a:p>
        <a:p>
          <a:r>
            <a:rPr lang="en-US" sz="900">
              <a:latin typeface="Courier New" panose="02070309020205020404" pitchFamily="49" charset="0"/>
              <a:cs typeface="Courier New" panose="02070309020205020404" pitchFamily="49" charset="0"/>
            </a:rPr>
            <a:t>                5  |   .4145261   .1403006     2.95   0.003     .1395419    .6895103</a:t>
          </a:r>
        </a:p>
        <a:p>
          <a:r>
            <a:rPr lang="en-US" sz="900">
              <a:latin typeface="Courier New" panose="02070309020205020404" pitchFamily="49" charset="0"/>
              <a:cs typeface="Courier New" panose="02070309020205020404" pitchFamily="49" charset="0"/>
            </a:rPr>
            <a:t>                6  |   1.993799   .1324803    15.05   0.000     1.734142    2.253455</a:t>
          </a:r>
        </a:p>
        <a:p>
          <a:r>
            <a:rPr lang="en-US" sz="900">
              <a:latin typeface="Courier New" panose="02070309020205020404" pitchFamily="49" charset="0"/>
              <a:cs typeface="Courier New" panose="02070309020205020404" pitchFamily="49" charset="0"/>
            </a:rPr>
            <a:t>                   |</a:t>
          </a:r>
        </a:p>
        <a:p>
          <a:r>
            <a:rPr lang="en-US" sz="900">
              <a:latin typeface="Courier New" panose="02070309020205020404" pitchFamily="49" charset="0"/>
              <a:cs typeface="Courier New" panose="02070309020205020404" pitchFamily="49" charset="0"/>
            </a:rPr>
            <a:t>                QS |</a:t>
          </a:r>
        </a:p>
        <a:p>
          <a:r>
            <a:rPr lang="en-US" sz="900">
              <a:latin typeface="Courier New" panose="02070309020205020404" pitchFamily="49" charset="0"/>
              <a:cs typeface="Courier New" panose="02070309020205020404" pitchFamily="49" charset="0"/>
            </a:rPr>
            <a:t>               12  |   .6663021   .2332532     2.86   0.004     .2091342     1.12347</a:t>
          </a:r>
        </a:p>
        <a:p>
          <a:r>
            <a:rPr lang="en-US" sz="900">
              <a:latin typeface="Courier New" panose="02070309020205020404" pitchFamily="49" charset="0"/>
              <a:cs typeface="Courier New" panose="02070309020205020404" pitchFamily="49" charset="0"/>
            </a:rPr>
            <a:t>               13  |   .4809854   .2919914     1.65   0.100    -.0913072    1.053278</a:t>
          </a:r>
        </a:p>
        <a:p>
          <a:r>
            <a:rPr lang="en-US" sz="900">
              <a:latin typeface="Courier New" panose="02070309020205020404" pitchFamily="49" charset="0"/>
              <a:cs typeface="Courier New" panose="02070309020205020404" pitchFamily="49" charset="0"/>
            </a:rPr>
            <a:t>               14  |   .2026283   .1868796     1.08   0.278     -.163649    .5689055</a:t>
          </a:r>
        </a:p>
        <a:p>
          <a:r>
            <a:rPr lang="en-US" sz="900">
              <a:latin typeface="Courier New" panose="02070309020205020404" pitchFamily="49" charset="0"/>
              <a:cs typeface="Courier New" panose="02070309020205020404" pitchFamily="49" charset="0"/>
            </a:rPr>
            <a:t>               15  |  -.1418876   .1695896    -0.84   0.403    -.4742771    .1905018</a:t>
          </a:r>
        </a:p>
        <a:p>
          <a:r>
            <a:rPr lang="en-US" sz="900">
              <a:latin typeface="Courier New" panose="02070309020205020404" pitchFamily="49" charset="0"/>
              <a:cs typeface="Courier New" panose="02070309020205020404" pitchFamily="49" charset="0"/>
            </a:rPr>
            <a:t>               16  |          0  (omitted)</a:t>
          </a:r>
        </a:p>
        <a:p>
          <a:r>
            <a:rPr lang="en-US" sz="900">
              <a:latin typeface="Courier New" panose="02070309020205020404" pitchFamily="49" charset="0"/>
              <a:cs typeface="Courier New" panose="02070309020205020404" pitchFamily="49" charset="0"/>
            </a:rPr>
            <a:t>               23  |   1.103582   .3053358     3.61   0.000     .5051348    1.702029</a:t>
          </a:r>
        </a:p>
        <a:p>
          <a:r>
            <a:rPr lang="en-US" sz="900">
              <a:latin typeface="Courier New" panose="02070309020205020404" pitchFamily="49" charset="0"/>
              <a:cs typeface="Courier New" panose="02070309020205020404" pitchFamily="49" charset="0"/>
            </a:rPr>
            <a:t>               24  |   .3424262   .2294545     1.49   0.136    -.1072965    .7921488</a:t>
          </a:r>
        </a:p>
        <a:p>
          <a:r>
            <a:rPr lang="en-US" sz="900">
              <a:latin typeface="Courier New" panose="02070309020205020404" pitchFamily="49" charset="0"/>
              <a:cs typeface="Courier New" panose="02070309020205020404" pitchFamily="49" charset="0"/>
            </a:rPr>
            <a:t>               25  |  -.1069617   .2091952    -0.51   0.609    -.5169767    .3030533</a:t>
          </a:r>
        </a:p>
        <a:p>
          <a:r>
            <a:rPr lang="en-US" sz="900">
              <a:latin typeface="Courier New" panose="02070309020205020404" pitchFamily="49" charset="0"/>
              <a:cs typeface="Courier New" panose="02070309020205020404" pitchFamily="49" charset="0"/>
            </a:rPr>
            <a:t>               26  |          0  (omitted)</a:t>
          </a:r>
        </a:p>
        <a:p>
          <a:r>
            <a:rPr lang="en-US" sz="900">
              <a:latin typeface="Courier New" panose="02070309020205020404" pitchFamily="49" charset="0"/>
              <a:cs typeface="Courier New" panose="02070309020205020404" pitchFamily="49" charset="0"/>
            </a:rPr>
            <a:t>               34  |   .0811285    .322066     0.25   0.801    -.5501093    .7123663</a:t>
          </a:r>
        </a:p>
        <a:p>
          <a:r>
            <a:rPr lang="en-US" sz="900">
              <a:latin typeface="Courier New" panose="02070309020205020404" pitchFamily="49" charset="0"/>
              <a:cs typeface="Courier New" panose="02070309020205020404" pitchFamily="49" charset="0"/>
            </a:rPr>
            <a:t>               35  |    .266055   .2338414     1.14   0.255    -.1922657    .7243757</a:t>
          </a:r>
        </a:p>
        <a:p>
          <a:r>
            <a:rPr lang="en-US" sz="900">
              <a:latin typeface="Courier New" panose="02070309020205020404" pitchFamily="49" charset="0"/>
              <a:cs typeface="Courier New" panose="02070309020205020404" pitchFamily="49" charset="0"/>
            </a:rPr>
            <a:t>               36  |          0  (omitted)</a:t>
          </a:r>
        </a:p>
        <a:p>
          <a:r>
            <a:rPr lang="en-US" sz="900">
              <a:latin typeface="Courier New" panose="02070309020205020404" pitchFamily="49" charset="0"/>
              <a:cs typeface="Courier New" panose="02070309020205020404" pitchFamily="49" charset="0"/>
            </a:rPr>
            <a:t>               45  |          0  (omitted)</a:t>
          </a:r>
        </a:p>
        <a:p>
          <a:r>
            <a:rPr lang="en-US" sz="900">
              <a:latin typeface="Courier New" panose="02070309020205020404" pitchFamily="49" charset="0"/>
              <a:cs typeface="Courier New" panose="02070309020205020404" pitchFamily="49" charset="0"/>
            </a:rPr>
            <a:t>               46  |          0  (omitted)</a:t>
          </a:r>
        </a:p>
        <a:p>
          <a:r>
            <a:rPr lang="en-US" sz="900">
              <a:latin typeface="Courier New" panose="02070309020205020404" pitchFamily="49" charset="0"/>
              <a:cs typeface="Courier New" panose="02070309020205020404" pitchFamily="49" charset="0"/>
            </a:rPr>
            <a:t>               56  |          0  (omitted)</a:t>
          </a:r>
        </a:p>
        <a:p>
          <a:r>
            <a:rPr lang="en-US" sz="900">
              <a:latin typeface="Courier New" panose="02070309020205020404" pitchFamily="49" charset="0"/>
              <a:cs typeface="Courier New" panose="02070309020205020404" pitchFamily="49" charset="0"/>
            </a:rPr>
            <a:t>                   |</a:t>
          </a:r>
        </a:p>
        <a:p>
          <a:r>
            <a:rPr lang="en-US" sz="900">
              <a:latin typeface="Courier New" panose="02070309020205020404" pitchFamily="49" charset="0"/>
              <a:cs typeface="Courier New" panose="02070309020205020404" pitchFamily="49" charset="0"/>
            </a:rPr>
            <a:t>             _cons |   3.179011   .1944645    16.35   0.000     2.797868    3.560154</a:t>
          </a:r>
        </a:p>
        <a:p>
          <a:r>
            <a:rPr lang="en-US" sz="900">
              <a:latin typeface="Courier New" panose="02070309020205020404" pitchFamily="49" charset="0"/>
              <a:cs typeface="Courier New" panose="02070309020205020404" pitchFamily="49" charset="0"/>
            </a:rPr>
            <a:t>------------------------------------------------------------------------------------</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 poisgof</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         Deviance goodness-of-fit =  22.40439</a:t>
          </a:r>
        </a:p>
        <a:p>
          <a:r>
            <a:rPr lang="en-US" sz="900">
              <a:latin typeface="Courier New" panose="02070309020205020404" pitchFamily="49" charset="0"/>
              <a:cs typeface="Courier New" panose="02070309020205020404" pitchFamily="49" charset="0"/>
            </a:rPr>
            <a:t>         Prob &gt; chi2(10)          =    0.0132</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         Pearson goodness-of-fit  =  22.39087</a:t>
          </a:r>
        </a:p>
        <a:p>
          <a:r>
            <a:rPr lang="en-US" sz="900">
              <a:latin typeface="Courier New" panose="02070309020205020404" pitchFamily="49" charset="0"/>
              <a:cs typeface="Courier New" panose="02070309020205020404" pitchFamily="49" charset="0"/>
            </a:rPr>
            <a:t>         Prob &gt; chi2(10)          =    0.0132</a:t>
          </a:r>
        </a:p>
        <a:p>
          <a:endParaRPr lang="en-US" sz="900">
            <a:latin typeface="Courier New" panose="02070309020205020404" pitchFamily="49" charset="0"/>
            <a:cs typeface="Courier New" panose="02070309020205020404" pitchFamily="49" charset="0"/>
          </a:endParaRP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 predict QS_model</a:t>
          </a:r>
        </a:p>
        <a:p>
          <a:r>
            <a:rPr lang="en-US" sz="900">
              <a:latin typeface="Courier New" panose="02070309020205020404" pitchFamily="49" charset="0"/>
              <a:cs typeface="Courier New" panose="02070309020205020404" pitchFamily="49" charset="0"/>
            </a:rPr>
            <a:t>(option n assumed; predicted number of events)</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 gen ID_QS=(50/4501)*(abs(count- QS_model ))</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 table fathers_occ6 childs_occ6, contents(sum ID_QS ) row col cellwidth(8)</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note: cellwidth too small, variable name truncated;</a:t>
          </a:r>
        </a:p>
        <a:p>
          <a:r>
            <a:rPr lang="en-US" sz="900">
              <a:latin typeface="Courier New" panose="02070309020205020404" pitchFamily="49" charset="0"/>
              <a:cs typeface="Courier New" panose="02070309020205020404" pitchFamily="49" charset="0"/>
            </a:rPr>
            <a:t>      to increase cellwidth, specify cellwidth(#)</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a:t>
          </a:r>
        </a:p>
        <a:p>
          <a:r>
            <a:rPr lang="en-US" sz="900">
              <a:latin typeface="Courier New" panose="02070309020205020404" pitchFamily="49" charset="0"/>
              <a:cs typeface="Courier New" panose="02070309020205020404" pitchFamily="49" charset="0"/>
            </a:rPr>
            <a:t>                |                             childs_occ6                             </a:t>
          </a:r>
        </a:p>
        <a:p>
          <a:r>
            <a:rPr lang="en-US" sz="900">
              <a:latin typeface="Courier New" panose="02070309020205020404" pitchFamily="49" charset="0"/>
              <a:cs typeface="Courier New" panose="02070309020205020404" pitchFamily="49" charset="0"/>
            </a:rPr>
            <a:t>   fathers_occ6 | professi     cadre  clerical  sales &amp;     manual  agricult     Total</a:t>
          </a:r>
        </a:p>
        <a:p>
          <a:r>
            <a:rPr lang="en-US" sz="900">
              <a:latin typeface="Courier New" panose="02070309020205020404" pitchFamily="49" charset="0"/>
              <a:cs typeface="Courier New" panose="02070309020205020404" pitchFamily="49" charset="0"/>
            </a:rPr>
            <a:t>----------------+---------------------------------------------------------------------</a:t>
          </a:r>
        </a:p>
        <a:p>
          <a:r>
            <a:rPr lang="en-US" sz="900">
              <a:latin typeface="Courier New" panose="02070309020205020404" pitchFamily="49" charset="0"/>
              <a:cs typeface="Courier New" panose="02070309020205020404" pitchFamily="49" charset="0"/>
            </a:rPr>
            <a:t>   professional |        0   .087442    .04535   .010303   .011227   .131868   .286191</a:t>
          </a:r>
        </a:p>
        <a:p>
          <a:r>
            <a:rPr lang="en-US" sz="900">
              <a:latin typeface="Courier New" panose="02070309020205020404" pitchFamily="49" charset="0"/>
              <a:cs typeface="Courier New" panose="02070309020205020404" pitchFamily="49" charset="0"/>
            </a:rPr>
            <a:t>          cadre |  .087442         0    .03841   .062367   .026201   .037284   .251703</a:t>
          </a:r>
        </a:p>
        <a:p>
          <a:r>
            <a:rPr lang="en-US" sz="900">
              <a:latin typeface="Courier New" panose="02070309020205020404" pitchFamily="49" charset="0"/>
              <a:cs typeface="Courier New" panose="02070309020205020404" pitchFamily="49" charset="0"/>
            </a:rPr>
            <a:t>       clerical |   .04535    .03841         0   .011374   .011345   .015778   .122258</a:t>
          </a:r>
        </a:p>
        <a:p>
          <a:r>
            <a:rPr lang="en-US" sz="900">
              <a:latin typeface="Courier New" panose="02070309020205020404" pitchFamily="49" charset="0"/>
              <a:cs typeface="Courier New" panose="02070309020205020404" pitchFamily="49" charset="0"/>
            </a:rPr>
            <a:t>sales &amp; service |  .010303   .062367   .011374         0   .027442   .056602   .168089</a:t>
          </a:r>
        </a:p>
        <a:p>
          <a:r>
            <a:rPr lang="en-US" sz="900">
              <a:latin typeface="Courier New" panose="02070309020205020404" pitchFamily="49" charset="0"/>
              <a:cs typeface="Courier New" panose="02070309020205020404" pitchFamily="49" charset="0"/>
            </a:rPr>
            <a:t>         manual |  .011227   .026201   .011345   .027442         0    .05376   .129975</a:t>
          </a:r>
        </a:p>
        <a:p>
          <a:r>
            <a:rPr lang="en-US" sz="900">
              <a:latin typeface="Courier New" panose="02070309020205020404" pitchFamily="49" charset="0"/>
              <a:cs typeface="Courier New" panose="02070309020205020404" pitchFamily="49" charset="0"/>
            </a:rPr>
            <a:t>   agricultural |  .131868   .037284   .015778   .056602    .05376         0   .295293</a:t>
          </a:r>
        </a:p>
        <a:p>
          <a:r>
            <a:rPr lang="en-US" sz="900">
              <a:latin typeface="Courier New" panose="02070309020205020404" pitchFamily="49" charset="0"/>
              <a:cs typeface="Courier New" panose="02070309020205020404" pitchFamily="49" charset="0"/>
            </a:rPr>
            <a:t>                | </a:t>
          </a:r>
        </a:p>
        <a:p>
          <a:r>
            <a:rPr lang="en-US" sz="900">
              <a:latin typeface="Courier New" panose="02070309020205020404" pitchFamily="49" charset="0"/>
              <a:cs typeface="Courier New" panose="02070309020205020404" pitchFamily="49" charset="0"/>
            </a:rPr>
            <a:t>          Total |  .286191   .251703   .122258   .168089   .129975   .295293   1.25351</a:t>
          </a:r>
        </a:p>
        <a:p>
          <a:r>
            <a:rPr lang="en-US" sz="900">
              <a:latin typeface="Courier New" panose="02070309020205020404" pitchFamily="49" charset="0"/>
              <a:cs typeface="Courier New" panose="02070309020205020404" pitchFamily="49" charset="0"/>
            </a:rPr>
            <a:t>--------------------------------------------------------------------------------------</a:t>
          </a:r>
        </a:p>
        <a:p>
          <a:endParaRPr lang="en-US" sz="900">
            <a:latin typeface="Courier New" panose="02070309020205020404" pitchFamily="49" charset="0"/>
            <a:cs typeface="Courier New" panose="02070309020205020404" pitchFamily="49" charset="0"/>
          </a:endParaRPr>
        </a:p>
        <a:p>
          <a:endParaRPr lang="en-US" sz="900">
            <a:latin typeface="Courier New" panose="02070309020205020404" pitchFamily="49" charset="0"/>
            <a:cs typeface="Courier New" panose="02070309020205020404" pitchFamily="49" charset="0"/>
          </a:endParaRP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*Now I am going to quickly redo the above loglinear models, but in nbreg form. nbreg, negative binomial regression adds one additional term to the poisson models to account</a:t>
          </a:r>
          <a:r>
            <a:rPr lang="en-US" sz="900" baseline="0">
              <a:latin typeface="Courier New" panose="02070309020205020404" pitchFamily="49" charset="0"/>
              <a:cs typeface="Courier New" panose="02070309020205020404" pitchFamily="49" charset="0"/>
            </a:rPr>
            <a:t> for over-dispersion, that is more variation from the expected counts. I am not going to do goodenss-of-fit tests between the poisson and nbreg models, because the nbreg models have a funky df situation with the extra parameter. But we do get a test at the bottom of the nbreg output to tell us whether the nbreg model fits better than the similarly specified Poisson model. Also, I am not going to show the predicted counts from the nbreg model, because they are not the same in total as the actual values and as the predicted values of Poisson. We only want to compare coefficients.</a:t>
          </a:r>
        </a:p>
        <a:p>
          <a:endParaRPr lang="en-US" sz="900" baseline="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 nbreg count i.fathers_occ6 i.childs_occ6</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Negative binomial regression                      Number of obs   =         36</a:t>
          </a:r>
        </a:p>
        <a:p>
          <a:r>
            <a:rPr lang="en-US" sz="900">
              <a:latin typeface="Courier New" panose="02070309020205020404" pitchFamily="49" charset="0"/>
              <a:cs typeface="Courier New" panose="02070309020205020404" pitchFamily="49" charset="0"/>
            </a:rPr>
            <a:t>                                                  LR chi2(10)     =      92.72</a:t>
          </a:r>
        </a:p>
        <a:p>
          <a:r>
            <a:rPr lang="en-US" sz="900">
              <a:latin typeface="Courier New" panose="02070309020205020404" pitchFamily="49" charset="0"/>
              <a:cs typeface="Courier New" panose="02070309020205020404" pitchFamily="49" charset="0"/>
            </a:rPr>
            <a:t>Dispersion     = mean                             Prob &gt; chi2     =     0.0000</a:t>
          </a:r>
        </a:p>
        <a:p>
          <a:r>
            <a:rPr lang="en-US" sz="900">
              <a:latin typeface="Courier New" panose="02070309020205020404" pitchFamily="49" charset="0"/>
              <a:cs typeface="Courier New" panose="02070309020205020404" pitchFamily="49" charset="0"/>
            </a:rPr>
            <a:t>Log likelihood = -156.17597                       Pseudo R2       =     0.2289</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a:t>
          </a:r>
        </a:p>
        <a:p>
          <a:r>
            <a:rPr lang="en-US" sz="900">
              <a:latin typeface="Courier New" panose="02070309020205020404" pitchFamily="49" charset="0"/>
              <a:cs typeface="Courier New" panose="02070309020205020404" pitchFamily="49" charset="0"/>
            </a:rPr>
            <a:t>           count |      Coef.   Std. Err.      z    P&gt;|z|     [95% Conf. Interval]</a:t>
          </a:r>
        </a:p>
        <a:p>
          <a:r>
            <a:rPr lang="en-US" sz="900">
              <a:latin typeface="Courier New" panose="02070309020205020404" pitchFamily="49" charset="0"/>
              <a:cs typeface="Courier New" panose="02070309020205020404" pitchFamily="49" charset="0"/>
            </a:rPr>
            <a:t>-----------------+----------------------------------------------------------------</a:t>
          </a:r>
        </a:p>
        <a:p>
          <a:r>
            <a:rPr lang="en-US" sz="900">
              <a:latin typeface="Courier New" panose="02070309020205020404" pitchFamily="49" charset="0"/>
              <a:cs typeface="Courier New" panose="02070309020205020404" pitchFamily="49" charset="0"/>
            </a:rPr>
            <a:t>    fathers_occ6 |</a:t>
          </a:r>
        </a:p>
        <a:p>
          <a:r>
            <a:rPr lang="en-US" sz="900">
              <a:latin typeface="Courier New" panose="02070309020205020404" pitchFamily="49" charset="0"/>
              <a:cs typeface="Courier New" panose="02070309020205020404" pitchFamily="49" charset="0"/>
            </a:rPr>
            <a:t>          cadre  |  -.2367744   .3024762    -0.78   0.434     -.829617    .3560681</a:t>
          </a:r>
        </a:p>
        <a:p>
          <a:r>
            <a:rPr lang="en-US" sz="900">
              <a:latin typeface="Courier New" panose="02070309020205020404" pitchFamily="49" charset="0"/>
              <a:cs typeface="Courier New" panose="02070309020205020404" pitchFamily="49" charset="0"/>
            </a:rPr>
            <a:t>       clerical  |   -1.11299   .3181257    -3.50   0.000    -1.736505   -.4894754</a:t>
          </a:r>
        </a:p>
        <a:p>
          <a:r>
            <a:rPr lang="en-US" sz="900">
              <a:latin typeface="Courier New" panose="02070309020205020404" pitchFamily="49" charset="0"/>
              <a:cs typeface="Courier New" panose="02070309020205020404" pitchFamily="49" charset="0"/>
            </a:rPr>
            <a:t>sales &amp; service  |   -.317151   .3023853    -1.05   0.294    -.9098152    .2755132</a:t>
          </a:r>
        </a:p>
        <a:p>
          <a:r>
            <a:rPr lang="en-US" sz="900">
              <a:latin typeface="Courier New" panose="02070309020205020404" pitchFamily="49" charset="0"/>
              <a:cs typeface="Courier New" panose="02070309020205020404" pitchFamily="49" charset="0"/>
            </a:rPr>
            <a:t>         manual  |   .6993341   .2924375     2.39   0.017     .1261671    1.272501</a:t>
          </a:r>
        </a:p>
        <a:p>
          <a:r>
            <a:rPr lang="en-US" sz="900">
              <a:latin typeface="Courier New" panose="02070309020205020404" pitchFamily="49" charset="0"/>
              <a:cs typeface="Courier New" panose="02070309020205020404" pitchFamily="49" charset="0"/>
            </a:rPr>
            <a:t>   agricultural  |   2.138298    .300448     7.12   0.000     1.549431    2.727165</a:t>
          </a:r>
        </a:p>
        <a:p>
          <a:r>
            <a:rPr lang="en-US" sz="900">
              <a:latin typeface="Courier New" panose="02070309020205020404" pitchFamily="49" charset="0"/>
              <a:cs typeface="Courier New" panose="02070309020205020404" pitchFamily="49" charset="0"/>
            </a:rPr>
            <a:t>                 |</a:t>
          </a:r>
        </a:p>
        <a:p>
          <a:r>
            <a:rPr lang="en-US" sz="900">
              <a:latin typeface="Courier New" panose="02070309020205020404" pitchFamily="49" charset="0"/>
              <a:cs typeface="Courier New" panose="02070309020205020404" pitchFamily="49" charset="0"/>
            </a:rPr>
            <a:t>     childs_occ6 |</a:t>
          </a:r>
        </a:p>
        <a:p>
          <a:r>
            <a:rPr lang="en-US" sz="900">
              <a:latin typeface="Courier New" panose="02070309020205020404" pitchFamily="49" charset="0"/>
              <a:cs typeface="Courier New" panose="02070309020205020404" pitchFamily="49" charset="0"/>
            </a:rPr>
            <a:t>          cadre  |   -1.01478   .3122466    -3.25   0.001    -1.626772   -.4027881</a:t>
          </a:r>
        </a:p>
        <a:p>
          <a:r>
            <a:rPr lang="en-US" sz="900">
              <a:latin typeface="Courier New" panose="02070309020205020404" pitchFamily="49" charset="0"/>
              <a:cs typeface="Courier New" panose="02070309020205020404" pitchFamily="49" charset="0"/>
            </a:rPr>
            <a:t>       clerical  |   -1.05256   .3158197    -3.33   0.001    -1.671555   -.4335643</a:t>
          </a:r>
        </a:p>
        <a:p>
          <a:r>
            <a:rPr lang="en-US" sz="900">
              <a:latin typeface="Courier New" panose="02070309020205020404" pitchFamily="49" charset="0"/>
              <a:cs typeface="Courier New" panose="02070309020205020404" pitchFamily="49" charset="0"/>
            </a:rPr>
            <a:t>sales &amp; service  |   .0683954   .2968849     0.23   0.818    -.5134884    .6502792</a:t>
          </a:r>
        </a:p>
        <a:p>
          <a:r>
            <a:rPr lang="en-US" sz="900">
              <a:latin typeface="Courier New" panose="02070309020205020404" pitchFamily="49" charset="0"/>
              <a:cs typeface="Courier New" panose="02070309020205020404" pitchFamily="49" charset="0"/>
            </a:rPr>
            <a:t>         manual  |   .6543987   .2934046     2.23   0.026     .0793363    1.229461</a:t>
          </a:r>
        </a:p>
        <a:p>
          <a:r>
            <a:rPr lang="en-US" sz="900">
              <a:latin typeface="Courier New" panose="02070309020205020404" pitchFamily="49" charset="0"/>
              <a:cs typeface="Courier New" panose="02070309020205020404" pitchFamily="49" charset="0"/>
            </a:rPr>
            <a:t>   agricultural  |   1.016242   .3062456     3.32   0.001     .4160116    1.616472</a:t>
          </a:r>
        </a:p>
        <a:p>
          <a:r>
            <a:rPr lang="en-US" sz="900">
              <a:latin typeface="Courier New" panose="02070309020205020404" pitchFamily="49" charset="0"/>
              <a:cs typeface="Courier New" panose="02070309020205020404" pitchFamily="49" charset="0"/>
            </a:rPr>
            <a:t>                 |</a:t>
          </a:r>
        </a:p>
        <a:p>
          <a:r>
            <a:rPr lang="en-US" sz="900">
              <a:latin typeface="Courier New" panose="02070309020205020404" pitchFamily="49" charset="0"/>
              <a:cs typeface="Courier New" panose="02070309020205020404" pitchFamily="49" charset="0"/>
            </a:rPr>
            <a:t>           _cons |   3.532017    .268532    13.15   0.000     3.005704     4.05833</a:t>
          </a:r>
        </a:p>
        <a:p>
          <a:r>
            <a:rPr lang="en-US" sz="900">
              <a:latin typeface="Courier New" panose="02070309020205020404" pitchFamily="49" charset="0"/>
              <a:cs typeface="Courier New" panose="02070309020205020404" pitchFamily="49" charset="0"/>
            </a:rPr>
            <a:t>-----------------+----------------------------------------------------------------</a:t>
          </a:r>
        </a:p>
        <a:p>
          <a:r>
            <a:rPr lang="en-US" sz="900">
              <a:latin typeface="Courier New" panose="02070309020205020404" pitchFamily="49" charset="0"/>
              <a:cs typeface="Courier New" panose="02070309020205020404" pitchFamily="49" charset="0"/>
            </a:rPr>
            <a:t>        /lnalpha |   -1.50033   .2512861                     -1.992842   -1.007819</a:t>
          </a:r>
        </a:p>
        <a:p>
          <a:r>
            <a:rPr lang="en-US" sz="900">
              <a:latin typeface="Courier New" panose="02070309020205020404" pitchFamily="49" charset="0"/>
              <a:cs typeface="Courier New" panose="02070309020205020404" pitchFamily="49" charset="0"/>
            </a:rPr>
            <a:t>-----------------+----------------------------------------------------------------</a:t>
          </a:r>
        </a:p>
        <a:p>
          <a:r>
            <a:rPr lang="en-US" sz="900">
              <a:latin typeface="Courier New" panose="02070309020205020404" pitchFamily="49" charset="0"/>
              <a:cs typeface="Courier New" panose="02070309020205020404" pitchFamily="49" charset="0"/>
            </a:rPr>
            <a:t>           alpha |   .2230565    .056051                      .1363075    .3650143</a:t>
          </a:r>
        </a:p>
        <a:p>
          <a:r>
            <a:rPr lang="en-US" sz="900">
              <a:latin typeface="Courier New" panose="02070309020205020404" pitchFamily="49" charset="0"/>
              <a:cs typeface="Courier New" panose="02070309020205020404" pitchFamily="49" charset="0"/>
            </a:rPr>
            <a:t>----------------------------------------------------------------------------------</a:t>
          </a:r>
        </a:p>
        <a:p>
          <a:r>
            <a:rPr lang="en-US" sz="900">
              <a:latin typeface="Courier New" panose="02070309020205020404" pitchFamily="49" charset="0"/>
              <a:cs typeface="Courier New" panose="02070309020205020404" pitchFamily="49" charset="0"/>
            </a:rPr>
            <a:t>Likelihood-ratio test of alpha=0:  chibar2(01) =  958.36 Prob&gt;=chibar2 = 0.000</a:t>
          </a:r>
        </a:p>
        <a:p>
          <a:endParaRPr lang="en-US" sz="900">
            <a:latin typeface="Courier New" panose="02070309020205020404" pitchFamily="49" charset="0"/>
            <a:cs typeface="Courier New" panose="02070309020205020404" pitchFamily="49" charset="0"/>
          </a:endParaRP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*For the quasi-independence model, the nbreg and the poisson are quite similar, and the test for the alpha parameter does not reject the null hypothesis that poisson fits just as well.</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 nbreg count i.fathers_occ6 i.childs_occ6 i.main_diagonal_each</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Fitting Poisson model:</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Iteration 0:   log likelihood = -28911.793  </a:t>
          </a:r>
        </a:p>
        <a:p>
          <a:r>
            <a:rPr lang="en-US" sz="900">
              <a:latin typeface="Courier New" panose="02070309020205020404" pitchFamily="49" charset="0"/>
              <a:cs typeface="Courier New" panose="02070309020205020404" pitchFamily="49" charset="0"/>
            </a:rPr>
            <a:t>Iteration 1:   log likelihood = -14177.606  (backed up)</a:t>
          </a:r>
        </a:p>
        <a:p>
          <a:r>
            <a:rPr lang="en-US" sz="900">
              <a:latin typeface="Courier New" panose="02070309020205020404" pitchFamily="49" charset="0"/>
              <a:cs typeface="Courier New" panose="02070309020205020404" pitchFamily="49" charset="0"/>
            </a:rPr>
            <a:t>Iteration 2:   log likelihood = -13139.962  (backed up)</a:t>
          </a:r>
        </a:p>
        <a:p>
          <a:r>
            <a:rPr lang="en-US" sz="900">
              <a:latin typeface="Courier New" panose="02070309020205020404" pitchFamily="49" charset="0"/>
              <a:cs typeface="Courier New" panose="02070309020205020404" pitchFamily="49" charset="0"/>
            </a:rPr>
            <a:t>Iteration 3:   log likelihood = -8077.1286  (backed up)</a:t>
          </a:r>
        </a:p>
        <a:p>
          <a:r>
            <a:rPr lang="en-US" sz="900">
              <a:latin typeface="Courier New" panose="02070309020205020404" pitchFamily="49" charset="0"/>
              <a:cs typeface="Courier New" panose="02070309020205020404" pitchFamily="49" charset="0"/>
            </a:rPr>
            <a:t>Iteration 4:   log likelihood =  -1853.364  </a:t>
          </a:r>
        </a:p>
        <a:p>
          <a:r>
            <a:rPr lang="en-US" sz="900">
              <a:latin typeface="Courier New" panose="02070309020205020404" pitchFamily="49" charset="0"/>
              <a:cs typeface="Courier New" panose="02070309020205020404" pitchFamily="49" charset="0"/>
            </a:rPr>
            <a:t>Iteration 5:   log likelihood = -532.71868  </a:t>
          </a:r>
        </a:p>
        <a:p>
          <a:r>
            <a:rPr lang="en-US" sz="900">
              <a:latin typeface="Courier New" panose="02070309020205020404" pitchFamily="49" charset="0"/>
              <a:cs typeface="Courier New" panose="02070309020205020404" pitchFamily="49" charset="0"/>
            </a:rPr>
            <a:t>Iteration 6:   log likelihood =  -131.5309  </a:t>
          </a:r>
        </a:p>
        <a:p>
          <a:r>
            <a:rPr lang="en-US" sz="900">
              <a:latin typeface="Courier New" panose="02070309020205020404" pitchFamily="49" charset="0"/>
              <a:cs typeface="Courier New" panose="02070309020205020404" pitchFamily="49" charset="0"/>
            </a:rPr>
            <a:t>Iteration 7:   log likelihood = -124.76628  </a:t>
          </a:r>
        </a:p>
        <a:p>
          <a:r>
            <a:rPr lang="en-US" sz="900">
              <a:latin typeface="Courier New" panose="02070309020205020404" pitchFamily="49" charset="0"/>
              <a:cs typeface="Courier New" panose="02070309020205020404" pitchFamily="49" charset="0"/>
            </a:rPr>
            <a:t>Iteration 8:   log likelihood = -124.70838  </a:t>
          </a:r>
        </a:p>
        <a:p>
          <a:r>
            <a:rPr lang="en-US" sz="900">
              <a:latin typeface="Courier New" panose="02070309020205020404" pitchFamily="49" charset="0"/>
              <a:cs typeface="Courier New" panose="02070309020205020404" pitchFamily="49" charset="0"/>
            </a:rPr>
            <a:t>Iteration 9:   log likelihood = -124.70833  </a:t>
          </a:r>
        </a:p>
        <a:p>
          <a:r>
            <a:rPr lang="en-US" sz="900">
              <a:latin typeface="Courier New" panose="02070309020205020404" pitchFamily="49" charset="0"/>
              <a:cs typeface="Courier New" panose="02070309020205020404" pitchFamily="49" charset="0"/>
            </a:rPr>
            <a:t>Iteration 10:  log likelihood = -124.70833  </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Fitting constant-only model:</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Iteration 0:   log likelihood = -209.97088  </a:t>
          </a:r>
        </a:p>
        <a:p>
          <a:r>
            <a:rPr lang="en-US" sz="900">
              <a:latin typeface="Courier New" panose="02070309020205020404" pitchFamily="49" charset="0"/>
              <a:cs typeface="Courier New" panose="02070309020205020404" pitchFamily="49" charset="0"/>
            </a:rPr>
            <a:t>Iteration 1:   log likelihood = -202.54879  </a:t>
          </a:r>
        </a:p>
        <a:p>
          <a:r>
            <a:rPr lang="en-US" sz="900">
              <a:latin typeface="Courier New" panose="02070309020205020404" pitchFamily="49" charset="0"/>
              <a:cs typeface="Courier New" panose="02070309020205020404" pitchFamily="49" charset="0"/>
            </a:rPr>
            <a:t>Iteration 2:   log likelihood = -202.53536  </a:t>
          </a:r>
        </a:p>
        <a:p>
          <a:r>
            <a:rPr lang="en-US" sz="900">
              <a:latin typeface="Courier New" panose="02070309020205020404" pitchFamily="49" charset="0"/>
              <a:cs typeface="Courier New" panose="02070309020205020404" pitchFamily="49" charset="0"/>
            </a:rPr>
            <a:t>Iteration 3:   log likelihood = -202.53536  </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Fitting full model:</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Iteration 0:   log likelihood = -189.86387  (not concave)</a:t>
          </a:r>
        </a:p>
        <a:p>
          <a:r>
            <a:rPr lang="en-US" sz="900">
              <a:latin typeface="Courier New" panose="02070309020205020404" pitchFamily="49" charset="0"/>
              <a:cs typeface="Courier New" panose="02070309020205020404" pitchFamily="49" charset="0"/>
            </a:rPr>
            <a:t>Iteration 1:   log likelihood = -169.56227  </a:t>
          </a:r>
        </a:p>
        <a:p>
          <a:r>
            <a:rPr lang="en-US" sz="900">
              <a:latin typeface="Courier New" panose="02070309020205020404" pitchFamily="49" charset="0"/>
              <a:cs typeface="Courier New" panose="02070309020205020404" pitchFamily="49" charset="0"/>
            </a:rPr>
            <a:t>Iteration 2:   log likelihood = -140.35321  </a:t>
          </a:r>
        </a:p>
        <a:p>
          <a:r>
            <a:rPr lang="en-US" sz="900">
              <a:latin typeface="Courier New" panose="02070309020205020404" pitchFamily="49" charset="0"/>
              <a:cs typeface="Courier New" panose="02070309020205020404" pitchFamily="49" charset="0"/>
            </a:rPr>
            <a:t>Iteration 3:   log likelihood =  -133.9785  (not concave)</a:t>
          </a:r>
        </a:p>
        <a:p>
          <a:r>
            <a:rPr lang="en-US" sz="900">
              <a:latin typeface="Courier New" panose="02070309020205020404" pitchFamily="49" charset="0"/>
              <a:cs typeface="Courier New" panose="02070309020205020404" pitchFamily="49" charset="0"/>
            </a:rPr>
            <a:t>Iteration 4:   log likelihood = -127.66739  </a:t>
          </a:r>
        </a:p>
        <a:p>
          <a:r>
            <a:rPr lang="en-US" sz="900">
              <a:latin typeface="Courier New" panose="02070309020205020404" pitchFamily="49" charset="0"/>
              <a:cs typeface="Courier New" panose="02070309020205020404" pitchFamily="49" charset="0"/>
            </a:rPr>
            <a:t>Iteration 5:   log likelihood = -125.95946  </a:t>
          </a:r>
        </a:p>
        <a:p>
          <a:r>
            <a:rPr lang="en-US" sz="900">
              <a:latin typeface="Courier New" panose="02070309020205020404" pitchFamily="49" charset="0"/>
              <a:cs typeface="Courier New" panose="02070309020205020404" pitchFamily="49" charset="0"/>
            </a:rPr>
            <a:t>Iteration 6:   log likelihood = -125.38828  (not concave)</a:t>
          </a:r>
        </a:p>
        <a:p>
          <a:r>
            <a:rPr lang="en-US" sz="900">
              <a:latin typeface="Courier New" panose="02070309020205020404" pitchFamily="49" charset="0"/>
              <a:cs typeface="Courier New" panose="02070309020205020404" pitchFamily="49" charset="0"/>
            </a:rPr>
            <a:t>Iteration 7:   log likelihood = -125.24635  (not concave)</a:t>
          </a:r>
        </a:p>
        <a:p>
          <a:r>
            <a:rPr lang="en-US" sz="900">
              <a:latin typeface="Courier New" panose="02070309020205020404" pitchFamily="49" charset="0"/>
              <a:cs typeface="Courier New" panose="02070309020205020404" pitchFamily="49" charset="0"/>
            </a:rPr>
            <a:t>Iteration 8:   log likelihood = -125.22605  </a:t>
          </a:r>
        </a:p>
        <a:p>
          <a:r>
            <a:rPr lang="en-US" sz="900">
              <a:latin typeface="Courier New" panose="02070309020205020404" pitchFamily="49" charset="0"/>
              <a:cs typeface="Courier New" panose="02070309020205020404" pitchFamily="49" charset="0"/>
            </a:rPr>
            <a:t>Iteration 9:   log likelihood = -125.20416  </a:t>
          </a:r>
        </a:p>
        <a:p>
          <a:r>
            <a:rPr lang="en-US" sz="900">
              <a:latin typeface="Courier New" panose="02070309020205020404" pitchFamily="49" charset="0"/>
              <a:cs typeface="Courier New" panose="02070309020205020404" pitchFamily="49" charset="0"/>
            </a:rPr>
            <a:t>Iteration 10:  log likelihood = -125.20404  </a:t>
          </a:r>
        </a:p>
        <a:p>
          <a:r>
            <a:rPr lang="en-US" sz="900">
              <a:latin typeface="Courier New" panose="02070309020205020404" pitchFamily="49" charset="0"/>
              <a:cs typeface="Courier New" panose="02070309020205020404" pitchFamily="49" charset="0"/>
            </a:rPr>
            <a:t>Iteration 11:  log likelihood = -125.20404  </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Negative binomial regression                      Number of obs   =         36</a:t>
          </a:r>
        </a:p>
        <a:p>
          <a:r>
            <a:rPr lang="en-US" sz="900">
              <a:latin typeface="Courier New" panose="02070309020205020404" pitchFamily="49" charset="0"/>
              <a:cs typeface="Courier New" panose="02070309020205020404" pitchFamily="49" charset="0"/>
            </a:rPr>
            <a:t>                                                  LR chi2(16)     =     154.66</a:t>
          </a:r>
        </a:p>
        <a:p>
          <a:r>
            <a:rPr lang="en-US" sz="900">
              <a:latin typeface="Courier New" panose="02070309020205020404" pitchFamily="49" charset="0"/>
              <a:cs typeface="Courier New" panose="02070309020205020404" pitchFamily="49" charset="0"/>
            </a:rPr>
            <a:t>Dispersion     = mean                             Prob &gt; chi2     =     0.0000</a:t>
          </a:r>
        </a:p>
        <a:p>
          <a:r>
            <a:rPr lang="en-US" sz="900">
              <a:latin typeface="Courier New" panose="02070309020205020404" pitchFamily="49" charset="0"/>
              <a:cs typeface="Courier New" panose="02070309020205020404" pitchFamily="49" charset="0"/>
            </a:rPr>
            <a:t>Log likelihood = -125.20404                       Pseudo R2       =     0.3818</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a:t>
          </a:r>
        </a:p>
        <a:p>
          <a:r>
            <a:rPr lang="en-US" sz="900">
              <a:latin typeface="Courier New" panose="02070309020205020404" pitchFamily="49" charset="0"/>
              <a:cs typeface="Courier New" panose="02070309020205020404" pitchFamily="49" charset="0"/>
            </a:rPr>
            <a:t>             count |      Coef.   Std. Err.      z    P&gt;|z|     [95% Conf. Interval]</a:t>
          </a:r>
        </a:p>
        <a:p>
          <a:r>
            <a:rPr lang="en-US" sz="900">
              <a:latin typeface="Courier New" panose="02070309020205020404" pitchFamily="49" charset="0"/>
              <a:cs typeface="Courier New" panose="02070309020205020404" pitchFamily="49" charset="0"/>
            </a:rPr>
            <a:t>-------------------+----------------------------------------------------------------</a:t>
          </a:r>
        </a:p>
        <a:p>
          <a:r>
            <a:rPr lang="en-US" sz="900">
              <a:latin typeface="Courier New" panose="02070309020205020404" pitchFamily="49" charset="0"/>
              <a:cs typeface="Courier New" panose="02070309020205020404" pitchFamily="49" charset="0"/>
            </a:rPr>
            <a:t>      fathers_occ6 |</a:t>
          </a:r>
        </a:p>
        <a:p>
          <a:r>
            <a:rPr lang="en-US" sz="900">
              <a:latin typeface="Courier New" panose="02070309020205020404" pitchFamily="49" charset="0"/>
              <a:cs typeface="Courier New" panose="02070309020205020404" pitchFamily="49" charset="0"/>
            </a:rPr>
            <a:t>            cadre  |  -.3472487   .1311126    -2.65   0.008    -.6042246   -.0902728</a:t>
          </a:r>
        </a:p>
        <a:p>
          <a:r>
            <a:rPr lang="en-US" sz="900">
              <a:latin typeface="Courier New" panose="02070309020205020404" pitchFamily="49" charset="0"/>
              <a:cs typeface="Courier New" panose="02070309020205020404" pitchFamily="49" charset="0"/>
            </a:rPr>
            <a:t>         clerical  |  -1.168712   .1546494    -7.56   0.000     -1.47182   -.8656053</a:t>
          </a:r>
        </a:p>
        <a:p>
          <a:r>
            <a:rPr lang="en-US" sz="900">
              <a:latin typeface="Courier New" panose="02070309020205020404" pitchFamily="49" charset="0"/>
              <a:cs typeface="Courier New" panose="02070309020205020404" pitchFamily="49" charset="0"/>
            </a:rPr>
            <a:t>  sales &amp; service  |   -.490172    .134136    -3.65   0.000    -.7530738   -.2272703</a:t>
          </a:r>
        </a:p>
        <a:p>
          <a:r>
            <a:rPr lang="en-US" sz="900">
              <a:latin typeface="Courier New" panose="02070309020205020404" pitchFamily="49" charset="0"/>
              <a:cs typeface="Courier New" panose="02070309020205020404" pitchFamily="49" charset="0"/>
            </a:rPr>
            <a:t>           manual  |   .6740468   .1205396     5.59   0.000     .4377936       .9103</a:t>
          </a:r>
        </a:p>
        <a:p>
          <a:r>
            <a:rPr lang="en-US" sz="900">
              <a:latin typeface="Courier New" panose="02070309020205020404" pitchFamily="49" charset="0"/>
              <a:cs typeface="Courier New" panose="02070309020205020404" pitchFamily="49" charset="0"/>
            </a:rPr>
            <a:t>     agricultural  |   1.644481   .1212966    13.56   0.000     1.406744    1.882218</a:t>
          </a:r>
        </a:p>
        <a:p>
          <a:r>
            <a:rPr lang="en-US" sz="900">
              <a:latin typeface="Courier New" panose="02070309020205020404" pitchFamily="49" charset="0"/>
              <a:cs typeface="Courier New" panose="02070309020205020404" pitchFamily="49" charset="0"/>
            </a:rPr>
            <a:t>                   |</a:t>
          </a:r>
        </a:p>
        <a:p>
          <a:r>
            <a:rPr lang="en-US" sz="900">
              <a:latin typeface="Courier New" panose="02070309020205020404" pitchFamily="49" charset="0"/>
              <a:cs typeface="Courier New" panose="02070309020205020404" pitchFamily="49" charset="0"/>
            </a:rPr>
            <a:t>       childs_occ6 |</a:t>
          </a:r>
        </a:p>
        <a:p>
          <a:r>
            <a:rPr lang="en-US" sz="900">
              <a:latin typeface="Courier New" panose="02070309020205020404" pitchFamily="49" charset="0"/>
              <a:cs typeface="Courier New" panose="02070309020205020404" pitchFamily="49" charset="0"/>
            </a:rPr>
            <a:t>            cadre  |   -.849083   .1398815    -6.07   0.000    -1.123246   -.5749204</a:t>
          </a:r>
        </a:p>
        <a:p>
          <a:r>
            <a:rPr lang="en-US" sz="900">
              <a:latin typeface="Courier New" panose="02070309020205020404" pitchFamily="49" charset="0"/>
              <a:cs typeface="Courier New" panose="02070309020205020404" pitchFamily="49" charset="0"/>
            </a:rPr>
            <a:t>         clerical  |  -1.023891   .1389366    -7.37   0.000    -1.296201   -.7515798</a:t>
          </a:r>
        </a:p>
        <a:p>
          <a:r>
            <a:rPr lang="en-US" sz="900">
              <a:latin typeface="Courier New" panose="02070309020205020404" pitchFamily="49" charset="0"/>
              <a:cs typeface="Courier New" panose="02070309020205020404" pitchFamily="49" charset="0"/>
            </a:rPr>
            <a:t>  sales &amp; service  |   .2422378   .1431259     1.69   0.091    -.0382838    .5227593</a:t>
          </a:r>
        </a:p>
        <a:p>
          <a:r>
            <a:rPr lang="en-US" sz="900">
              <a:latin typeface="Courier New" panose="02070309020205020404" pitchFamily="49" charset="0"/>
              <a:cs typeface="Courier New" panose="02070309020205020404" pitchFamily="49" charset="0"/>
            </a:rPr>
            <a:t>           manual  |   .8689692    .188979     4.60   0.000     .4985772    1.239361</a:t>
          </a:r>
        </a:p>
        <a:p>
          <a:r>
            <a:rPr lang="en-US" sz="900">
              <a:latin typeface="Courier New" panose="02070309020205020404" pitchFamily="49" charset="0"/>
              <a:cs typeface="Courier New" panose="02070309020205020404" pitchFamily="49" charset="0"/>
            </a:rPr>
            <a:t>     agricultural  |   .6880949   .1704837     4.04   0.000      .353953    1.022237</a:t>
          </a:r>
        </a:p>
        <a:p>
          <a:r>
            <a:rPr lang="en-US" sz="900">
              <a:latin typeface="Courier New" panose="02070309020205020404" pitchFamily="49" charset="0"/>
              <a:cs typeface="Courier New" panose="02070309020205020404" pitchFamily="49" charset="0"/>
            </a:rPr>
            <a:t>                   |</a:t>
          </a:r>
        </a:p>
        <a:p>
          <a:r>
            <a:rPr lang="en-US" sz="900">
              <a:latin typeface="Courier New" panose="02070309020205020404" pitchFamily="49" charset="0"/>
              <a:cs typeface="Courier New" panose="02070309020205020404" pitchFamily="49" charset="0"/>
            </a:rPr>
            <a:t>main_diagonal_each |</a:t>
          </a:r>
        </a:p>
        <a:p>
          <a:r>
            <a:rPr lang="en-US" sz="900">
              <a:latin typeface="Courier New" panose="02070309020205020404" pitchFamily="49" charset="0"/>
              <a:cs typeface="Courier New" panose="02070309020205020404" pitchFamily="49" charset="0"/>
            </a:rPr>
            <a:t>                1  |   .6704435   .2241665     2.99   0.003     .2310851    1.109802</a:t>
          </a:r>
        </a:p>
        <a:p>
          <a:r>
            <a:rPr lang="en-US" sz="900">
              <a:latin typeface="Courier New" panose="02070309020205020404" pitchFamily="49" charset="0"/>
              <a:cs typeface="Courier New" panose="02070309020205020404" pitchFamily="49" charset="0"/>
            </a:rPr>
            <a:t>                2  |   .3886732   .3383081     1.15   0.251    -.2743984    1.051745</a:t>
          </a:r>
        </a:p>
        <a:p>
          <a:r>
            <a:rPr lang="en-US" sz="900">
              <a:latin typeface="Courier New" panose="02070309020205020404" pitchFamily="49" charset="0"/>
              <a:cs typeface="Courier New" panose="02070309020205020404" pitchFamily="49" charset="0"/>
            </a:rPr>
            <a:t>                3  |   .8994368    .409281     2.20   0.028     .0972607    1.701613</a:t>
          </a:r>
        </a:p>
        <a:p>
          <a:r>
            <a:rPr lang="en-US" sz="900">
              <a:latin typeface="Courier New" panose="02070309020205020404" pitchFamily="49" charset="0"/>
              <a:cs typeface="Courier New" panose="02070309020205020404" pitchFamily="49" charset="0"/>
            </a:rPr>
            <a:t>                4  |   .7671468   .2083908     3.68   0.000     .3587084    1.175585</a:t>
          </a:r>
        </a:p>
        <a:p>
          <a:r>
            <a:rPr lang="en-US" sz="900">
              <a:latin typeface="Courier New" panose="02070309020205020404" pitchFamily="49" charset="0"/>
              <a:cs typeface="Courier New" panose="02070309020205020404" pitchFamily="49" charset="0"/>
            </a:rPr>
            <a:t>                5  |    .548208   .1691508     3.24   0.001     .2166785    .8797375</a:t>
          </a:r>
        </a:p>
        <a:p>
          <a:r>
            <a:rPr lang="en-US" sz="900">
              <a:latin typeface="Courier New" panose="02070309020205020404" pitchFamily="49" charset="0"/>
              <a:cs typeface="Courier New" panose="02070309020205020404" pitchFamily="49" charset="0"/>
            </a:rPr>
            <a:t>                6  |    2.11686   .1501676    14.10   0.000     1.822537    2.411183</a:t>
          </a:r>
        </a:p>
        <a:p>
          <a:r>
            <a:rPr lang="en-US" sz="900">
              <a:latin typeface="Courier New" panose="02070309020205020404" pitchFamily="49" charset="0"/>
              <a:cs typeface="Courier New" panose="02070309020205020404" pitchFamily="49" charset="0"/>
            </a:rPr>
            <a:t>                   |</a:t>
          </a:r>
        </a:p>
        <a:p>
          <a:r>
            <a:rPr lang="en-US" sz="900">
              <a:latin typeface="Courier New" panose="02070309020205020404" pitchFamily="49" charset="0"/>
              <a:cs typeface="Courier New" panose="02070309020205020404" pitchFamily="49" charset="0"/>
            </a:rPr>
            <a:t>             _cons |   3.372608   .1653871    20.39   0.000     3.048455    3.696761</a:t>
          </a:r>
        </a:p>
        <a:p>
          <a:r>
            <a:rPr lang="en-US" sz="900">
              <a:latin typeface="Courier New" panose="02070309020205020404" pitchFamily="49" charset="0"/>
              <a:cs typeface="Courier New" panose="02070309020205020404" pitchFamily="49" charset="0"/>
            </a:rPr>
            <a:t>-------------------+----------------------------------------------------------------</a:t>
          </a:r>
        </a:p>
        <a:p>
          <a:r>
            <a:rPr lang="en-US" sz="900">
              <a:latin typeface="Courier New" panose="02070309020205020404" pitchFamily="49" charset="0"/>
              <a:cs typeface="Courier New" panose="02070309020205020404" pitchFamily="49" charset="0"/>
            </a:rPr>
            <a:t>          /lnalpha |  -5.229932   2.398103                     -9.930127   -.5297361</a:t>
          </a:r>
        </a:p>
        <a:p>
          <a:r>
            <a:rPr lang="en-US" sz="900">
              <a:latin typeface="Courier New" panose="02070309020205020404" pitchFamily="49" charset="0"/>
              <a:cs typeface="Courier New" panose="02070309020205020404" pitchFamily="49" charset="0"/>
            </a:rPr>
            <a:t>-------------------+----------------------------------------------------------------</a:t>
          </a:r>
        </a:p>
        <a:p>
          <a:r>
            <a:rPr lang="en-US" sz="900">
              <a:latin typeface="Courier New" panose="02070309020205020404" pitchFamily="49" charset="0"/>
              <a:cs typeface="Courier New" panose="02070309020205020404" pitchFamily="49" charset="0"/>
            </a:rPr>
            <a:t>             alpha |   .0053539   .0128392                      .0000487    .5887603</a:t>
          </a:r>
        </a:p>
        <a:p>
          <a:r>
            <a:rPr lang="en-US" sz="900">
              <a:latin typeface="Courier New" panose="02070309020205020404" pitchFamily="49" charset="0"/>
              <a:cs typeface="Courier New" panose="02070309020205020404" pitchFamily="49" charset="0"/>
            </a:rPr>
            <a:t>------------------------------------------------------------------------------------</a:t>
          </a:r>
        </a:p>
        <a:p>
          <a:r>
            <a:rPr lang="en-US" sz="900">
              <a:latin typeface="Courier New" panose="02070309020205020404" pitchFamily="49" charset="0"/>
              <a:cs typeface="Courier New" panose="02070309020205020404" pitchFamily="49" charset="0"/>
            </a:rPr>
            <a:t>Likelihood-ratio test of alpha=0:  chibar2(01) = 0.0e+00 Prob&gt;=chibar2 = 0.500</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 poisson count i.fathers_occ6 i.childs_occ6 i.main_diagonal_each</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Iteration 0:   log likelihood = -28911.793  </a:t>
          </a:r>
        </a:p>
        <a:p>
          <a:r>
            <a:rPr lang="en-US" sz="900">
              <a:latin typeface="Courier New" panose="02070309020205020404" pitchFamily="49" charset="0"/>
              <a:cs typeface="Courier New" panose="02070309020205020404" pitchFamily="49" charset="0"/>
            </a:rPr>
            <a:t>Iteration 1:   log likelihood = -14177.606  (backed up)</a:t>
          </a:r>
        </a:p>
        <a:p>
          <a:r>
            <a:rPr lang="en-US" sz="900">
              <a:latin typeface="Courier New" panose="02070309020205020404" pitchFamily="49" charset="0"/>
              <a:cs typeface="Courier New" panose="02070309020205020404" pitchFamily="49" charset="0"/>
            </a:rPr>
            <a:t>Iteration 2:   log likelihood = -13139.962  (backed up)</a:t>
          </a:r>
        </a:p>
        <a:p>
          <a:r>
            <a:rPr lang="en-US" sz="900">
              <a:latin typeface="Courier New" panose="02070309020205020404" pitchFamily="49" charset="0"/>
              <a:cs typeface="Courier New" panose="02070309020205020404" pitchFamily="49" charset="0"/>
            </a:rPr>
            <a:t>Iteration 3:   log likelihood = -8077.1286  (backed up)</a:t>
          </a:r>
        </a:p>
        <a:p>
          <a:r>
            <a:rPr lang="en-US" sz="900">
              <a:latin typeface="Courier New" panose="02070309020205020404" pitchFamily="49" charset="0"/>
              <a:cs typeface="Courier New" panose="02070309020205020404" pitchFamily="49" charset="0"/>
            </a:rPr>
            <a:t>Iteration 4:   log likelihood =  -1853.364  </a:t>
          </a:r>
        </a:p>
        <a:p>
          <a:r>
            <a:rPr lang="en-US" sz="900">
              <a:latin typeface="Courier New" panose="02070309020205020404" pitchFamily="49" charset="0"/>
              <a:cs typeface="Courier New" panose="02070309020205020404" pitchFamily="49" charset="0"/>
            </a:rPr>
            <a:t>Iteration 5:   log likelihood = -532.71868  </a:t>
          </a:r>
        </a:p>
        <a:p>
          <a:r>
            <a:rPr lang="en-US" sz="900">
              <a:latin typeface="Courier New" panose="02070309020205020404" pitchFamily="49" charset="0"/>
              <a:cs typeface="Courier New" panose="02070309020205020404" pitchFamily="49" charset="0"/>
            </a:rPr>
            <a:t>Iteration 6:   log likelihood =  -131.5309  </a:t>
          </a:r>
        </a:p>
        <a:p>
          <a:r>
            <a:rPr lang="en-US" sz="900">
              <a:latin typeface="Courier New" panose="02070309020205020404" pitchFamily="49" charset="0"/>
              <a:cs typeface="Courier New" panose="02070309020205020404" pitchFamily="49" charset="0"/>
            </a:rPr>
            <a:t>Iteration 7:   log likelihood = -124.76628  </a:t>
          </a:r>
        </a:p>
        <a:p>
          <a:r>
            <a:rPr lang="en-US" sz="900">
              <a:latin typeface="Courier New" panose="02070309020205020404" pitchFamily="49" charset="0"/>
              <a:cs typeface="Courier New" panose="02070309020205020404" pitchFamily="49" charset="0"/>
            </a:rPr>
            <a:t>Iteration 8:   log likelihood = -124.70838  </a:t>
          </a:r>
        </a:p>
        <a:p>
          <a:r>
            <a:rPr lang="en-US" sz="900">
              <a:latin typeface="Courier New" panose="02070309020205020404" pitchFamily="49" charset="0"/>
              <a:cs typeface="Courier New" panose="02070309020205020404" pitchFamily="49" charset="0"/>
            </a:rPr>
            <a:t>Iteration 9:   log likelihood = -124.70833  </a:t>
          </a:r>
        </a:p>
        <a:p>
          <a:r>
            <a:rPr lang="en-US" sz="900">
              <a:latin typeface="Courier New" panose="02070309020205020404" pitchFamily="49" charset="0"/>
              <a:cs typeface="Courier New" panose="02070309020205020404" pitchFamily="49" charset="0"/>
            </a:rPr>
            <a:t>Iteration 10:  log likelihood = -124.70833  </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Poisson regression                                Number of obs   =         36</a:t>
          </a:r>
        </a:p>
        <a:p>
          <a:r>
            <a:rPr lang="en-US" sz="900">
              <a:latin typeface="Courier New" panose="02070309020205020404" pitchFamily="49" charset="0"/>
              <a:cs typeface="Courier New" panose="02070309020205020404" pitchFamily="49" charset="0"/>
            </a:rPr>
            <a:t>                                                  LR chi2(16)     =   14204.25</a:t>
          </a:r>
        </a:p>
        <a:p>
          <a:r>
            <a:rPr lang="en-US" sz="900">
              <a:latin typeface="Courier New" panose="02070309020205020404" pitchFamily="49" charset="0"/>
              <a:cs typeface="Courier New" panose="02070309020205020404" pitchFamily="49" charset="0"/>
            </a:rPr>
            <a:t>                                                  Prob &gt; chi2     =     0.0000</a:t>
          </a:r>
        </a:p>
        <a:p>
          <a:r>
            <a:rPr lang="en-US" sz="900">
              <a:latin typeface="Courier New" panose="02070309020205020404" pitchFamily="49" charset="0"/>
              <a:cs typeface="Courier New" panose="02070309020205020404" pitchFamily="49" charset="0"/>
            </a:rPr>
            <a:t>Log likelihood = -124.70833                       Pseudo R2       =     0.9827</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a:t>
          </a:r>
        </a:p>
        <a:p>
          <a:r>
            <a:rPr lang="en-US" sz="900">
              <a:latin typeface="Courier New" panose="02070309020205020404" pitchFamily="49" charset="0"/>
              <a:cs typeface="Courier New" panose="02070309020205020404" pitchFamily="49" charset="0"/>
            </a:rPr>
            <a:t>             count |      Coef.   Std. Err.      z    P&gt;|z|     [95% Conf. Interval]</a:t>
          </a:r>
        </a:p>
        <a:p>
          <a:r>
            <a:rPr lang="en-US" sz="900">
              <a:latin typeface="Courier New" panose="02070309020205020404" pitchFamily="49" charset="0"/>
              <a:cs typeface="Courier New" panose="02070309020205020404" pitchFamily="49" charset="0"/>
            </a:rPr>
            <a:t>-------------------+----------------------------------------------------------------</a:t>
          </a:r>
        </a:p>
        <a:p>
          <a:r>
            <a:rPr lang="en-US" sz="900">
              <a:latin typeface="Courier New" panose="02070309020205020404" pitchFamily="49" charset="0"/>
              <a:cs typeface="Courier New" panose="02070309020205020404" pitchFamily="49" charset="0"/>
            </a:rPr>
            <a:t>      fathers_occ6 |</a:t>
          </a:r>
        </a:p>
        <a:p>
          <a:r>
            <a:rPr lang="en-US" sz="900">
              <a:latin typeface="Courier New" panose="02070309020205020404" pitchFamily="49" charset="0"/>
              <a:cs typeface="Courier New" panose="02070309020205020404" pitchFamily="49" charset="0"/>
            </a:rPr>
            <a:t>            cadre  |  -.3654428   .1119211    -3.27   0.001    -.5848041   -.1460814</a:t>
          </a:r>
        </a:p>
        <a:p>
          <a:r>
            <a:rPr lang="en-US" sz="900">
              <a:latin typeface="Courier New" panose="02070309020205020404" pitchFamily="49" charset="0"/>
              <a:cs typeface="Courier New" panose="02070309020205020404" pitchFamily="49" charset="0"/>
            </a:rPr>
            <a:t>         clerical  |  -1.165156   .1450919    -8.03   0.000    -1.449531   -.8807807</a:t>
          </a:r>
        </a:p>
        <a:p>
          <a:r>
            <a:rPr lang="en-US" sz="900">
              <a:latin typeface="Courier New" panose="02070309020205020404" pitchFamily="49" charset="0"/>
              <a:cs typeface="Courier New" panose="02070309020205020404" pitchFamily="49" charset="0"/>
            </a:rPr>
            <a:t>  sales &amp; service  |  -.4946232   .1212487    -4.08   0.000    -.7322662   -.2569801</a:t>
          </a:r>
        </a:p>
        <a:p>
          <a:r>
            <a:rPr lang="en-US" sz="900">
              <a:latin typeface="Courier New" panose="02070309020205020404" pitchFamily="49" charset="0"/>
              <a:cs typeface="Courier New" panose="02070309020205020404" pitchFamily="49" charset="0"/>
            </a:rPr>
            <a:t>           manual  |   .7057022   .0962446     7.33   0.000     .5170663    .8943381</a:t>
          </a:r>
        </a:p>
        <a:p>
          <a:r>
            <a:rPr lang="en-US" sz="900">
              <a:latin typeface="Courier New" panose="02070309020205020404" pitchFamily="49" charset="0"/>
              <a:cs typeface="Courier New" panose="02070309020205020404" pitchFamily="49" charset="0"/>
            </a:rPr>
            <a:t>     agricultural  |   1.689072    .084291    20.04   0.000     1.523865    1.854279</a:t>
          </a:r>
        </a:p>
        <a:p>
          <a:r>
            <a:rPr lang="en-US" sz="900">
              <a:latin typeface="Courier New" panose="02070309020205020404" pitchFamily="49" charset="0"/>
              <a:cs typeface="Courier New" panose="02070309020205020404" pitchFamily="49" charset="0"/>
            </a:rPr>
            <a:t>                   |</a:t>
          </a:r>
        </a:p>
        <a:p>
          <a:r>
            <a:rPr lang="en-US" sz="900">
              <a:latin typeface="Courier New" panose="02070309020205020404" pitchFamily="49" charset="0"/>
              <a:cs typeface="Courier New" panose="02070309020205020404" pitchFamily="49" charset="0"/>
            </a:rPr>
            <a:t>       childs_occ6 |</a:t>
          </a:r>
        </a:p>
        <a:p>
          <a:r>
            <a:rPr lang="en-US" sz="900">
              <a:latin typeface="Courier New" panose="02070309020205020404" pitchFamily="49" charset="0"/>
              <a:cs typeface="Courier New" panose="02070309020205020404" pitchFamily="49" charset="0"/>
            </a:rPr>
            <a:t>            cadre  |  -.8200785   .1144469    -7.17   0.000     -1.04439   -.5957668</a:t>
          </a:r>
        </a:p>
        <a:p>
          <a:r>
            <a:rPr lang="en-US" sz="900">
              <a:latin typeface="Courier New" panose="02070309020205020404" pitchFamily="49" charset="0"/>
              <a:cs typeface="Courier New" panose="02070309020205020404" pitchFamily="49" charset="0"/>
            </a:rPr>
            <a:t>         clerical  |  -1.003863   .1202253    -8.35   0.000    -1.239501   -.7682259</a:t>
          </a:r>
        </a:p>
        <a:p>
          <a:r>
            <a:rPr lang="en-US" sz="900">
              <a:latin typeface="Courier New" panose="02070309020205020404" pitchFamily="49" charset="0"/>
              <a:cs typeface="Courier New" panose="02070309020205020404" pitchFamily="49" charset="0"/>
            </a:rPr>
            <a:t>  sales &amp; service  |   .2931219   .0841195     3.48   0.000     .1282506    .4579932</a:t>
          </a:r>
        </a:p>
        <a:p>
          <a:r>
            <a:rPr lang="en-US" sz="900">
              <a:latin typeface="Courier New" panose="02070309020205020404" pitchFamily="49" charset="0"/>
              <a:cs typeface="Courier New" panose="02070309020205020404" pitchFamily="49" charset="0"/>
            </a:rPr>
            <a:t>           manual  |   .9674598   .0781099    12.39   0.000     .8143673    1.120552</a:t>
          </a:r>
        </a:p>
        <a:p>
          <a:r>
            <a:rPr lang="en-US" sz="900">
              <a:latin typeface="Courier New" panose="02070309020205020404" pitchFamily="49" charset="0"/>
              <a:cs typeface="Courier New" panose="02070309020205020404" pitchFamily="49" charset="0"/>
            </a:rPr>
            <a:t>     agricultural  |   .7615453   .0945208     8.06   0.000     .5762879    .9468027</a:t>
          </a:r>
        </a:p>
        <a:p>
          <a:r>
            <a:rPr lang="en-US" sz="900">
              <a:latin typeface="Courier New" panose="02070309020205020404" pitchFamily="49" charset="0"/>
              <a:cs typeface="Courier New" panose="02070309020205020404" pitchFamily="49" charset="0"/>
            </a:rPr>
            <a:t>                   |</a:t>
          </a:r>
        </a:p>
        <a:p>
          <a:r>
            <a:rPr lang="en-US" sz="900">
              <a:latin typeface="Courier New" panose="02070309020205020404" pitchFamily="49" charset="0"/>
              <a:cs typeface="Courier New" panose="02070309020205020404" pitchFamily="49" charset="0"/>
            </a:rPr>
            <a:t>main_diagonal_each |</a:t>
          </a:r>
        </a:p>
        <a:p>
          <a:r>
            <a:rPr lang="en-US" sz="900">
              <a:latin typeface="Courier New" panose="02070309020205020404" pitchFamily="49" charset="0"/>
              <a:cs typeface="Courier New" panose="02070309020205020404" pitchFamily="49" charset="0"/>
            </a:rPr>
            <a:t>                1  |   .7410683   .1669636     4.44   0.000     .4138257    1.068311</a:t>
          </a:r>
        </a:p>
        <a:p>
          <a:r>
            <a:rPr lang="en-US" sz="900">
              <a:latin typeface="Courier New" panose="02070309020205020404" pitchFamily="49" charset="0"/>
              <a:cs typeface="Courier New" panose="02070309020205020404" pitchFamily="49" charset="0"/>
            </a:rPr>
            <a:t>                2  |   .4484877   .3062014     1.46   0.143    -.1516559    1.048631</a:t>
          </a:r>
        </a:p>
        <a:p>
          <a:r>
            <a:rPr lang="en-US" sz="900">
              <a:latin typeface="Courier New" panose="02070309020205020404" pitchFamily="49" charset="0"/>
              <a:cs typeface="Courier New" panose="02070309020205020404" pitchFamily="49" charset="0"/>
            </a:rPr>
            <a:t>                3  |   .9464775   .3894826     2.43   0.015     .1831056    1.709849</a:t>
          </a:r>
        </a:p>
        <a:p>
          <a:r>
            <a:rPr lang="en-US" sz="900">
              <a:latin typeface="Courier New" panose="02070309020205020404" pitchFamily="49" charset="0"/>
              <a:cs typeface="Courier New" panose="02070309020205020404" pitchFamily="49" charset="0"/>
            </a:rPr>
            <a:t>                4  |   .7913386   .1828914     4.33   0.000      .432878    1.149799</a:t>
          </a:r>
        </a:p>
        <a:p>
          <a:r>
            <a:rPr lang="en-US" sz="900">
              <a:latin typeface="Courier New" panose="02070309020205020404" pitchFamily="49" charset="0"/>
              <a:cs typeface="Courier New" panose="02070309020205020404" pitchFamily="49" charset="0"/>
            </a:rPr>
            <a:t>                5  |   .4886868      .1051     4.65   0.000     .2826947     .694679</a:t>
          </a:r>
        </a:p>
        <a:p>
          <a:r>
            <a:rPr lang="en-US" sz="900">
              <a:latin typeface="Courier New" panose="02070309020205020404" pitchFamily="49" charset="0"/>
              <a:cs typeface="Courier New" panose="02070309020205020404" pitchFamily="49" charset="0"/>
            </a:rPr>
            <a:t>                6  |   2.069444   .0855322    24.19   0.000     1.901804    2.237084</a:t>
          </a:r>
        </a:p>
        <a:p>
          <a:r>
            <a:rPr lang="en-US" sz="900">
              <a:latin typeface="Courier New" panose="02070309020205020404" pitchFamily="49" charset="0"/>
              <a:cs typeface="Courier New" panose="02070309020205020404" pitchFamily="49" charset="0"/>
            </a:rPr>
            <a:t>                   |</a:t>
          </a:r>
        </a:p>
        <a:p>
          <a:r>
            <a:rPr lang="en-US" sz="900">
              <a:latin typeface="Courier New" panose="02070309020205020404" pitchFamily="49" charset="0"/>
              <a:cs typeface="Courier New" panose="02070309020205020404" pitchFamily="49" charset="0"/>
            </a:rPr>
            <a:t>             _cons |   3.301983   .1016513    32.48   0.000      3.10275    3.501216</a:t>
          </a:r>
        </a:p>
        <a:p>
          <a:r>
            <a:rPr lang="en-US" sz="900">
              <a:latin typeface="Courier New" panose="02070309020205020404" pitchFamily="49" charset="0"/>
              <a:cs typeface="Courier New" panose="02070309020205020404" pitchFamily="49" charset="0"/>
            </a:rPr>
            <a:t>------------------------------------------------------------------------------------</a:t>
          </a:r>
        </a:p>
        <a:p>
          <a:endParaRPr lang="en-US" sz="900">
            <a:latin typeface="Courier New" panose="02070309020205020404" pitchFamily="49" charset="0"/>
            <a:cs typeface="Courier New" panose="02070309020205020404" pitchFamily="49" charset="0"/>
          </a:endParaRPr>
        </a:p>
        <a:p>
          <a:endParaRPr lang="en-US" sz="900">
            <a:latin typeface="Courier New" panose="02070309020205020404" pitchFamily="49" charset="0"/>
            <a:cs typeface="Courier New" panose="02070309020205020404" pitchFamily="49" charset="0"/>
          </a:endParaRPr>
        </a:p>
        <a:p>
          <a:endParaRPr lang="en-US" sz="900">
            <a:latin typeface="Courier New" panose="02070309020205020404" pitchFamily="49" charset="0"/>
            <a:cs typeface="Courier New" panose="02070309020205020404" pitchFamily="49" charset="0"/>
          </a:endParaRPr>
        </a:p>
        <a:p>
          <a:endParaRPr lang="en-US" sz="900">
            <a:latin typeface="Courier New" panose="02070309020205020404" pitchFamily="49" charset="0"/>
            <a:cs typeface="Courier New" panose="02070309020205020404" pitchFamily="49" charset="0"/>
          </a:endParaRPr>
        </a:p>
        <a:p>
          <a:endParaRPr lang="en-US" sz="900">
            <a:latin typeface="Courier New" panose="02070309020205020404" pitchFamily="49" charset="0"/>
            <a:cs typeface="Courier New" panose="02070309020205020404" pitchFamily="49" charset="0"/>
          </a:endParaRPr>
        </a:p>
      </xdr:txBody>
    </xdr:sp>
    <xdr:clientData/>
  </xdr:oneCellAnchor>
  <xdr:twoCellAnchor>
    <xdr:from>
      <xdr:col>7</xdr:col>
      <xdr:colOff>304800</xdr:colOff>
      <xdr:row>1</xdr:row>
      <xdr:rowOff>47625</xdr:rowOff>
    </xdr:from>
    <xdr:to>
      <xdr:col>15</xdr:col>
      <xdr:colOff>190500</xdr:colOff>
      <xdr:row>4</xdr:row>
      <xdr:rowOff>95250</xdr:rowOff>
    </xdr:to>
    <xdr:sp macro="" textlink="">
      <xdr:nvSpPr>
        <xdr:cNvPr id="3" name="TextBox 2"/>
        <xdr:cNvSpPr txBox="1"/>
      </xdr:nvSpPr>
      <xdr:spPr>
        <a:xfrm>
          <a:off x="4572000" y="200025"/>
          <a:ext cx="5324475" cy="5048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Compare to Treiman's table 12.11, P. 284</a:t>
          </a:r>
        </a:p>
      </xdr:txBody>
    </xdr:sp>
    <xdr:clientData/>
  </xdr:twoCellAnchor>
  <xdr:oneCellAnchor>
    <xdr:from>
      <xdr:col>17</xdr:col>
      <xdr:colOff>85725</xdr:colOff>
      <xdr:row>23</xdr:row>
      <xdr:rowOff>123825</xdr:rowOff>
    </xdr:from>
    <xdr:ext cx="7334250" cy="16181353"/>
    <xdr:sp macro="" textlink="">
      <xdr:nvSpPr>
        <xdr:cNvPr id="4" name="TextBox 3"/>
        <xdr:cNvSpPr txBox="1"/>
      </xdr:nvSpPr>
      <xdr:spPr>
        <a:xfrm>
          <a:off x="12849225" y="5762625"/>
          <a:ext cx="7334250" cy="1618135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lang="en-US" sz="900" smtClean="0">
              <a:solidFill>
                <a:schemeClr val="dk1"/>
              </a:solidFill>
              <a:latin typeface="Courier New" panose="02070309020205020404" pitchFamily="49" charset="0"/>
              <a:ea typeface="+mn-ea"/>
              <a:cs typeface="Courier New" panose="02070309020205020404" pitchFamily="49" charset="0"/>
            </a:rPr>
            <a:t>Here I am using the Windows software LEM (google search it, it is a free download)</a:t>
          </a:r>
          <a:r>
            <a:rPr lang="en-US" sz="900" baseline="0" smtClean="0">
              <a:solidFill>
                <a:schemeClr val="dk1"/>
              </a:solidFill>
              <a:latin typeface="Courier New" panose="02070309020205020404" pitchFamily="49" charset="0"/>
              <a:ea typeface="+mn-ea"/>
              <a:cs typeface="Courier New" panose="02070309020205020404" pitchFamily="49" charset="0"/>
            </a:rPr>
            <a:t> to estimate Goodman's log multiplicative RC model.</a:t>
          </a:r>
          <a:endParaRPr lang="en-US" sz="900" smtClean="0">
            <a:solidFill>
              <a:schemeClr val="dk1"/>
            </a:solidFill>
            <a:latin typeface="Courier New" panose="02070309020205020404" pitchFamily="49" charset="0"/>
            <a:ea typeface="+mn-ea"/>
            <a:cs typeface="Courier New" panose="02070309020205020404" pitchFamily="49" charset="0"/>
          </a:endParaRPr>
        </a:p>
        <a:p>
          <a:endParaRPr lang="en-US" sz="900" smtClean="0">
            <a:solidFill>
              <a:schemeClr val="dk1"/>
            </a:solidFill>
            <a:latin typeface="Courier New" panose="02070309020205020404" pitchFamily="49" charset="0"/>
            <a:ea typeface="+mn-ea"/>
            <a:cs typeface="Courier New" panose="02070309020205020404" pitchFamily="49" charset="0"/>
          </a:endParaRPr>
        </a:p>
        <a:p>
          <a:r>
            <a:rPr lang="en-US" sz="900" smtClean="0">
              <a:solidFill>
                <a:schemeClr val="dk1"/>
              </a:solidFill>
              <a:latin typeface="Courier New" panose="02070309020205020404" pitchFamily="49" charset="0"/>
              <a:ea typeface="+mn-ea"/>
              <a:cs typeface="Courier New" panose="02070309020205020404" pitchFamily="49" charset="0"/>
            </a:rPr>
            <a:t>LEM: log-linear and event history analysis with missing data.</a:t>
          </a:r>
        </a:p>
        <a:p>
          <a:r>
            <a:rPr lang="en-US" sz="900" smtClean="0">
              <a:solidFill>
                <a:schemeClr val="dk1"/>
              </a:solidFill>
              <a:latin typeface="Courier New" panose="02070309020205020404" pitchFamily="49" charset="0"/>
              <a:ea typeface="+mn-ea"/>
              <a:cs typeface="Courier New" panose="02070309020205020404" pitchFamily="49" charset="0"/>
            </a:rPr>
            <a:t>Developed by Jeroen Vermunt (c), Tilburg University, The Netherlands.</a:t>
          </a:r>
        </a:p>
        <a:p>
          <a:r>
            <a:rPr lang="en-US" sz="900" smtClean="0">
              <a:solidFill>
                <a:schemeClr val="dk1"/>
              </a:solidFill>
              <a:latin typeface="Courier New" panose="02070309020205020404" pitchFamily="49" charset="0"/>
              <a:ea typeface="+mn-ea"/>
              <a:cs typeface="Courier New" panose="02070309020205020404" pitchFamily="49" charset="0"/>
            </a:rPr>
            <a:t>Version 1.0 (September 18, 1997).</a:t>
          </a:r>
        </a:p>
        <a:p>
          <a:endParaRPr lang="en-US" sz="900" smtClean="0">
            <a:solidFill>
              <a:schemeClr val="dk1"/>
            </a:solidFill>
            <a:latin typeface="Courier New" panose="02070309020205020404" pitchFamily="49" charset="0"/>
            <a:ea typeface="+mn-ea"/>
            <a:cs typeface="Courier New" panose="02070309020205020404" pitchFamily="49" charset="0"/>
          </a:endParaRPr>
        </a:p>
        <a:p>
          <a:r>
            <a:rPr lang="en-US" sz="900" smtClean="0">
              <a:solidFill>
                <a:schemeClr val="dk1"/>
              </a:solidFill>
              <a:latin typeface="Courier New" panose="02070309020205020404" pitchFamily="49" charset="0"/>
              <a:ea typeface="+mn-ea"/>
              <a:cs typeface="Courier New" panose="02070309020205020404" pitchFamily="49" charset="0"/>
            </a:rPr>
            <a:t>* In the input below, F is father's occ, and S is Child's occ. The model specification </a:t>
          </a:r>
          <a:r>
            <a:rPr lang="en-US" sz="900">
              <a:solidFill>
                <a:schemeClr val="dk1"/>
              </a:solidFill>
              <a:effectLst/>
              <a:latin typeface="Courier New" panose="02070309020205020404" pitchFamily="49" charset="0"/>
              <a:ea typeface="+mn-ea"/>
              <a:cs typeface="Courier New" panose="02070309020205020404" pitchFamily="49" charset="0"/>
            </a:rPr>
            <a:t>mod {F,S,ass2(F,S,5a)} means independence</a:t>
          </a:r>
          <a:r>
            <a:rPr lang="en-US" sz="900" baseline="0">
              <a:solidFill>
                <a:schemeClr val="dk1"/>
              </a:solidFill>
              <a:effectLst/>
              <a:latin typeface="Courier New" panose="02070309020205020404" pitchFamily="49" charset="0"/>
              <a:ea typeface="+mn-ea"/>
              <a:cs typeface="Courier New" panose="02070309020205020404" pitchFamily="49" charset="0"/>
            </a:rPr>
            <a:t> model (F, S) plus the RC log multiplicative terms.</a:t>
          </a:r>
          <a:endParaRPr lang="en-US" sz="900">
            <a:effectLst/>
            <a:latin typeface="Courier New" panose="02070309020205020404" pitchFamily="49" charset="0"/>
            <a:cs typeface="Courier New" panose="02070309020205020404" pitchFamily="49" charset="0"/>
          </a:endParaRPr>
        </a:p>
        <a:p>
          <a:r>
            <a:rPr lang="en-US" sz="900" smtClean="0">
              <a:solidFill>
                <a:schemeClr val="dk1"/>
              </a:solidFill>
              <a:latin typeface="Courier New" panose="02070309020205020404" pitchFamily="49" charset="0"/>
              <a:ea typeface="+mn-ea"/>
              <a:cs typeface="Courier New" panose="02070309020205020404" pitchFamily="49" charset="0"/>
            </a:rPr>
            <a:t>*** INPUT ***</a:t>
          </a:r>
        </a:p>
        <a:p>
          <a:endParaRPr lang="en-US" sz="900" smtClean="0">
            <a:solidFill>
              <a:schemeClr val="dk1"/>
            </a:solidFill>
            <a:latin typeface="Courier New" panose="02070309020205020404" pitchFamily="49" charset="0"/>
            <a:ea typeface="+mn-ea"/>
            <a:cs typeface="Courier New" panose="02070309020205020404" pitchFamily="49" charset="0"/>
          </a:endParaRPr>
        </a:p>
        <a:p>
          <a:r>
            <a:rPr lang="en-US" sz="900" smtClean="0">
              <a:solidFill>
                <a:schemeClr val="dk1"/>
              </a:solidFill>
              <a:latin typeface="Courier New" panose="02070309020205020404" pitchFamily="49" charset="0"/>
              <a:ea typeface="+mn-ea"/>
              <a:cs typeface="Courier New" panose="02070309020205020404" pitchFamily="49" charset="0"/>
            </a:rPr>
            <a:t>  man 2</a:t>
          </a:r>
        </a:p>
        <a:p>
          <a:r>
            <a:rPr lang="en-US" sz="900" smtClean="0">
              <a:solidFill>
                <a:schemeClr val="dk1"/>
              </a:solidFill>
              <a:latin typeface="Courier New" panose="02070309020205020404" pitchFamily="49" charset="0"/>
              <a:ea typeface="+mn-ea"/>
              <a:cs typeface="Courier New" panose="02070309020205020404" pitchFamily="49" charset="0"/>
            </a:rPr>
            <a:t>  dim 6 6</a:t>
          </a:r>
        </a:p>
        <a:p>
          <a:r>
            <a:rPr lang="en-US" sz="900" smtClean="0">
              <a:solidFill>
                <a:schemeClr val="dk1"/>
              </a:solidFill>
              <a:latin typeface="Courier New" panose="02070309020205020404" pitchFamily="49" charset="0"/>
              <a:ea typeface="+mn-ea"/>
              <a:cs typeface="Courier New" panose="02070309020205020404" pitchFamily="49" charset="0"/>
            </a:rPr>
            <a:t>  label F S</a:t>
          </a:r>
        </a:p>
        <a:p>
          <a:r>
            <a:rPr lang="en-US" sz="900" smtClean="0">
              <a:solidFill>
                <a:schemeClr val="dk1"/>
              </a:solidFill>
              <a:latin typeface="Courier New" panose="02070309020205020404" pitchFamily="49" charset="0"/>
              <a:ea typeface="+mn-ea"/>
              <a:cs typeface="Courier New" panose="02070309020205020404" pitchFamily="49" charset="0"/>
            </a:rPr>
            <a:t>  mod {F,S,ass2(F,S,5a)}</a:t>
          </a:r>
        </a:p>
        <a:p>
          <a:r>
            <a:rPr lang="en-US" sz="900" smtClean="0">
              <a:solidFill>
                <a:schemeClr val="dk1"/>
              </a:solidFill>
              <a:latin typeface="Courier New" panose="02070309020205020404" pitchFamily="49" charset="0"/>
              <a:ea typeface="+mn-ea"/>
              <a:cs typeface="Courier New" panose="02070309020205020404" pitchFamily="49" charset="0"/>
            </a:rPr>
            <a:t>  dat [ 57  11  8  39  61  69</a:t>
          </a:r>
        </a:p>
        <a:p>
          <a:r>
            <a:rPr lang="en-US" sz="900" smtClean="0">
              <a:solidFill>
                <a:schemeClr val="dk1"/>
              </a:solidFill>
              <a:latin typeface="Courier New" panose="02070309020205020404" pitchFamily="49" charset="0"/>
              <a:ea typeface="+mn-ea"/>
              <a:cs typeface="Courier New" panose="02070309020205020404" pitchFamily="49" charset="0"/>
            </a:rPr>
            <a:t>   36      13      17      22      35      31</a:t>
          </a:r>
        </a:p>
        <a:p>
          <a:r>
            <a:rPr lang="en-US" sz="900" smtClean="0">
              <a:solidFill>
                <a:schemeClr val="dk1"/>
              </a:solidFill>
              <a:latin typeface="Courier New" panose="02070309020205020404" pitchFamily="49" charset="0"/>
              <a:ea typeface="+mn-ea"/>
              <a:cs typeface="Courier New" panose="02070309020205020404" pitchFamily="49" charset="0"/>
            </a:rPr>
            <a:t>  14       4       8       8      22      16</a:t>
          </a:r>
        </a:p>
        <a:p>
          <a:r>
            <a:rPr lang="en-US" sz="900" smtClean="0">
              <a:solidFill>
                <a:schemeClr val="dk1"/>
              </a:solidFill>
              <a:latin typeface="Courier New" panose="02070309020205020404" pitchFamily="49" charset="0"/>
              <a:ea typeface="+mn-ea"/>
              <a:cs typeface="Courier New" panose="02070309020205020404" pitchFamily="49" charset="0"/>
            </a:rPr>
            <a:t>  19      14       6      49      40      30</a:t>
          </a:r>
        </a:p>
        <a:p>
          <a:r>
            <a:rPr lang="en-US" sz="900" smtClean="0">
              <a:solidFill>
                <a:schemeClr val="dk1"/>
              </a:solidFill>
              <a:latin typeface="Courier New" panose="02070309020205020404" pitchFamily="49" charset="0"/>
              <a:ea typeface="+mn-ea"/>
              <a:cs typeface="Courier New" panose="02070309020205020404" pitchFamily="49" charset="0"/>
            </a:rPr>
            <a:t>  46      22      23      76     236     124</a:t>
          </a:r>
        </a:p>
        <a:p>
          <a:r>
            <a:rPr lang="en-US" sz="900" smtClean="0">
              <a:solidFill>
                <a:schemeClr val="dk1"/>
              </a:solidFill>
              <a:latin typeface="Courier New" panose="02070309020205020404" pitchFamily="49" charset="0"/>
              <a:ea typeface="+mn-ea"/>
              <a:cs typeface="Courier New" panose="02070309020205020404" pitchFamily="49" charset="0"/>
            </a:rPr>
            <a:t>  131      61      43     199     416    2495]</a:t>
          </a:r>
        </a:p>
        <a:p>
          <a:r>
            <a:rPr lang="en-US" sz="900" smtClean="0">
              <a:solidFill>
                <a:schemeClr val="dk1"/>
              </a:solidFill>
              <a:latin typeface="Courier New" panose="02070309020205020404" pitchFamily="49" charset="0"/>
              <a:ea typeface="+mn-ea"/>
              <a:cs typeface="Courier New" panose="02070309020205020404" pitchFamily="49" charset="0"/>
            </a:rPr>
            <a:t>  </a:t>
          </a:r>
        </a:p>
        <a:p>
          <a:endParaRPr lang="en-US" sz="900" smtClean="0">
            <a:solidFill>
              <a:schemeClr val="dk1"/>
            </a:solidFill>
            <a:latin typeface="Courier New" panose="02070309020205020404" pitchFamily="49" charset="0"/>
            <a:ea typeface="+mn-ea"/>
            <a:cs typeface="Courier New" panose="02070309020205020404" pitchFamily="49" charset="0"/>
          </a:endParaRPr>
        </a:p>
        <a:p>
          <a:endParaRPr lang="en-US" sz="900" smtClean="0">
            <a:solidFill>
              <a:schemeClr val="dk1"/>
            </a:solidFill>
            <a:latin typeface="Courier New" panose="02070309020205020404" pitchFamily="49" charset="0"/>
            <a:ea typeface="+mn-ea"/>
            <a:cs typeface="Courier New" panose="02070309020205020404" pitchFamily="49" charset="0"/>
          </a:endParaRPr>
        </a:p>
        <a:p>
          <a:r>
            <a:rPr lang="en-US" sz="900" smtClean="0">
              <a:solidFill>
                <a:schemeClr val="dk1"/>
              </a:solidFill>
              <a:latin typeface="Courier New" panose="02070309020205020404" pitchFamily="49" charset="0"/>
              <a:ea typeface="+mn-ea"/>
              <a:cs typeface="Courier New" panose="02070309020205020404" pitchFamily="49" charset="0"/>
            </a:rPr>
            <a:t>*** STATISTICS ***</a:t>
          </a:r>
        </a:p>
        <a:p>
          <a:endParaRPr lang="en-US" sz="900" smtClean="0">
            <a:solidFill>
              <a:schemeClr val="dk1"/>
            </a:solidFill>
            <a:latin typeface="Courier New" panose="02070309020205020404" pitchFamily="49" charset="0"/>
            <a:ea typeface="+mn-ea"/>
            <a:cs typeface="Courier New" panose="02070309020205020404" pitchFamily="49" charset="0"/>
          </a:endParaRPr>
        </a:p>
        <a:p>
          <a:r>
            <a:rPr lang="en-US" sz="900" smtClean="0">
              <a:solidFill>
                <a:schemeClr val="dk1"/>
              </a:solidFill>
              <a:latin typeface="Courier New" panose="02070309020205020404" pitchFamily="49" charset="0"/>
              <a:ea typeface="+mn-ea"/>
              <a:cs typeface="Courier New" panose="02070309020205020404" pitchFamily="49" charset="0"/>
            </a:rPr>
            <a:t>  Number of iterations = 70</a:t>
          </a:r>
        </a:p>
        <a:p>
          <a:r>
            <a:rPr lang="en-US" sz="900" smtClean="0">
              <a:solidFill>
                <a:schemeClr val="dk1"/>
              </a:solidFill>
              <a:latin typeface="Courier New" panose="02070309020205020404" pitchFamily="49" charset="0"/>
              <a:ea typeface="+mn-ea"/>
              <a:cs typeface="Courier New" panose="02070309020205020404" pitchFamily="49" charset="0"/>
            </a:rPr>
            <a:t>  Converge criterion   = 0.0000009388</a:t>
          </a:r>
        </a:p>
        <a:p>
          <a:endParaRPr lang="en-US" sz="900" smtClean="0">
            <a:solidFill>
              <a:schemeClr val="dk1"/>
            </a:solidFill>
            <a:latin typeface="Courier New" panose="02070309020205020404" pitchFamily="49" charset="0"/>
            <a:ea typeface="+mn-ea"/>
            <a:cs typeface="Courier New" panose="02070309020205020404" pitchFamily="49" charset="0"/>
          </a:endParaRPr>
        </a:p>
        <a:p>
          <a:r>
            <a:rPr lang="en-US" sz="900" smtClean="0">
              <a:solidFill>
                <a:schemeClr val="dk1"/>
              </a:solidFill>
              <a:latin typeface="Courier New" panose="02070309020205020404" pitchFamily="49" charset="0"/>
              <a:ea typeface="+mn-ea"/>
              <a:cs typeface="Courier New" panose="02070309020205020404" pitchFamily="49" charset="0"/>
            </a:rPr>
            <a:t>  X-squared            = 111.4733 (0.0000)</a:t>
          </a:r>
        </a:p>
        <a:p>
          <a:r>
            <a:rPr lang="en-US" sz="900" smtClean="0">
              <a:solidFill>
                <a:schemeClr val="dk1"/>
              </a:solidFill>
              <a:latin typeface="Courier New" panose="02070309020205020404" pitchFamily="49" charset="0"/>
              <a:ea typeface="+mn-ea"/>
              <a:cs typeface="Courier New" panose="02070309020205020404" pitchFamily="49" charset="0"/>
            </a:rPr>
            <a:t>  L-squared            = 105.9873 (0.0000)</a:t>
          </a:r>
        </a:p>
        <a:p>
          <a:r>
            <a:rPr lang="en-US" sz="900" smtClean="0">
              <a:solidFill>
                <a:schemeClr val="dk1"/>
              </a:solidFill>
              <a:latin typeface="Courier New" panose="02070309020205020404" pitchFamily="49" charset="0"/>
              <a:ea typeface="+mn-ea"/>
              <a:cs typeface="Courier New" panose="02070309020205020404" pitchFamily="49" charset="0"/>
            </a:rPr>
            <a:t>  Cressie-Read         = 109.2293 (0.0000)</a:t>
          </a:r>
        </a:p>
        <a:p>
          <a:r>
            <a:rPr lang="en-US" sz="900" smtClean="0">
              <a:solidFill>
                <a:schemeClr val="dk1"/>
              </a:solidFill>
              <a:latin typeface="Courier New" panose="02070309020205020404" pitchFamily="49" charset="0"/>
              <a:ea typeface="+mn-ea"/>
              <a:cs typeface="Courier New" panose="02070309020205020404" pitchFamily="49" charset="0"/>
            </a:rPr>
            <a:t>  Dissimilarity index  = 0.0335</a:t>
          </a:r>
        </a:p>
        <a:p>
          <a:r>
            <a:rPr lang="en-US" sz="900" smtClean="0">
              <a:solidFill>
                <a:schemeClr val="dk1"/>
              </a:solidFill>
              <a:latin typeface="Courier New" panose="02070309020205020404" pitchFamily="49" charset="0"/>
              <a:ea typeface="+mn-ea"/>
              <a:cs typeface="Courier New" panose="02070309020205020404" pitchFamily="49" charset="0"/>
            </a:rPr>
            <a:t>  Degrees of freedom   = 16</a:t>
          </a:r>
        </a:p>
        <a:p>
          <a:r>
            <a:rPr lang="en-US" sz="900" smtClean="0">
              <a:solidFill>
                <a:schemeClr val="dk1"/>
              </a:solidFill>
              <a:latin typeface="Courier New" panose="02070309020205020404" pitchFamily="49" charset="0"/>
              <a:ea typeface="+mn-ea"/>
              <a:cs typeface="Courier New" panose="02070309020205020404" pitchFamily="49" charset="0"/>
            </a:rPr>
            <a:t>  Log-likelihood       = -9053.09199</a:t>
          </a:r>
        </a:p>
        <a:p>
          <a:r>
            <a:rPr lang="en-US" sz="900" smtClean="0">
              <a:solidFill>
                <a:schemeClr val="dk1"/>
              </a:solidFill>
              <a:latin typeface="Courier New" panose="02070309020205020404" pitchFamily="49" charset="0"/>
              <a:ea typeface="+mn-ea"/>
              <a:cs typeface="Courier New" panose="02070309020205020404" pitchFamily="49" charset="0"/>
            </a:rPr>
            <a:t>  Number of parameters = 19 (+1)</a:t>
          </a:r>
        </a:p>
        <a:p>
          <a:r>
            <a:rPr lang="en-US" sz="900" smtClean="0">
              <a:solidFill>
                <a:schemeClr val="dk1"/>
              </a:solidFill>
              <a:latin typeface="Courier New" panose="02070309020205020404" pitchFamily="49" charset="0"/>
              <a:ea typeface="+mn-ea"/>
              <a:cs typeface="Courier New" panose="02070309020205020404" pitchFamily="49" charset="0"/>
            </a:rPr>
            <a:t>  Sample size          = 4501.0</a:t>
          </a:r>
        </a:p>
        <a:p>
          <a:r>
            <a:rPr lang="en-US" sz="900" smtClean="0">
              <a:solidFill>
                <a:schemeClr val="dk1"/>
              </a:solidFill>
              <a:latin typeface="Courier New" panose="02070309020205020404" pitchFamily="49" charset="0"/>
              <a:ea typeface="+mn-ea"/>
              <a:cs typeface="Courier New" panose="02070309020205020404" pitchFamily="49" charset="0"/>
            </a:rPr>
            <a:t>  BIC(L-squared)       = -28.6055</a:t>
          </a:r>
        </a:p>
        <a:p>
          <a:r>
            <a:rPr lang="en-US" sz="900" smtClean="0">
              <a:solidFill>
                <a:schemeClr val="dk1"/>
              </a:solidFill>
              <a:latin typeface="Courier New" panose="02070309020205020404" pitchFamily="49" charset="0"/>
              <a:ea typeface="+mn-ea"/>
              <a:cs typeface="Courier New" panose="02070309020205020404" pitchFamily="49" charset="0"/>
            </a:rPr>
            <a:t>  AIC(L-squared)       = 73.9873</a:t>
          </a:r>
        </a:p>
        <a:p>
          <a:r>
            <a:rPr lang="en-US" sz="900" smtClean="0">
              <a:solidFill>
                <a:schemeClr val="dk1"/>
              </a:solidFill>
              <a:latin typeface="Courier New" panose="02070309020205020404" pitchFamily="49" charset="0"/>
              <a:ea typeface="+mn-ea"/>
              <a:cs typeface="Courier New" panose="02070309020205020404" pitchFamily="49" charset="0"/>
            </a:rPr>
            <a:t>  BIC(log-likelihood)  = 18266.0130</a:t>
          </a:r>
        </a:p>
        <a:p>
          <a:r>
            <a:rPr lang="en-US" sz="900" smtClean="0">
              <a:solidFill>
                <a:schemeClr val="dk1"/>
              </a:solidFill>
              <a:latin typeface="Courier New" panose="02070309020205020404" pitchFamily="49" charset="0"/>
              <a:ea typeface="+mn-ea"/>
              <a:cs typeface="Courier New" panose="02070309020205020404" pitchFamily="49" charset="0"/>
            </a:rPr>
            <a:t>  AIC(log-likelihood)  = 18144.1840</a:t>
          </a:r>
        </a:p>
        <a:p>
          <a:endParaRPr lang="en-US" sz="900" smtClean="0">
            <a:solidFill>
              <a:schemeClr val="dk1"/>
            </a:solidFill>
            <a:latin typeface="Courier New" panose="02070309020205020404" pitchFamily="49" charset="0"/>
            <a:ea typeface="+mn-ea"/>
            <a:cs typeface="Courier New" panose="02070309020205020404" pitchFamily="49" charset="0"/>
          </a:endParaRPr>
        </a:p>
        <a:p>
          <a:r>
            <a:rPr lang="en-US" sz="900" smtClean="0">
              <a:solidFill>
                <a:schemeClr val="dk1"/>
              </a:solidFill>
              <a:latin typeface="Courier New" panose="02070309020205020404" pitchFamily="49" charset="0"/>
              <a:ea typeface="+mn-ea"/>
              <a:cs typeface="Courier New" panose="02070309020205020404" pitchFamily="49" charset="0"/>
            </a:rPr>
            <a:t>WARNING: no information is provided on identification of parameters</a:t>
          </a:r>
        </a:p>
        <a:p>
          <a:endParaRPr lang="en-US" sz="900" smtClean="0">
            <a:solidFill>
              <a:schemeClr val="dk1"/>
            </a:solidFill>
            <a:latin typeface="Courier New" panose="02070309020205020404" pitchFamily="49" charset="0"/>
            <a:ea typeface="+mn-ea"/>
            <a:cs typeface="Courier New" panose="02070309020205020404" pitchFamily="49" charset="0"/>
          </a:endParaRPr>
        </a:p>
        <a:p>
          <a:endParaRPr lang="en-US" sz="900" smtClean="0">
            <a:solidFill>
              <a:schemeClr val="dk1"/>
            </a:solidFill>
            <a:latin typeface="Courier New" panose="02070309020205020404" pitchFamily="49" charset="0"/>
            <a:ea typeface="+mn-ea"/>
            <a:cs typeface="Courier New" panose="02070309020205020404" pitchFamily="49" charset="0"/>
          </a:endParaRPr>
        </a:p>
        <a:p>
          <a:endParaRPr lang="en-US" sz="900" smtClean="0">
            <a:solidFill>
              <a:schemeClr val="dk1"/>
            </a:solidFill>
            <a:latin typeface="Courier New" panose="02070309020205020404" pitchFamily="49" charset="0"/>
            <a:ea typeface="+mn-ea"/>
            <a:cs typeface="Courier New" panose="02070309020205020404" pitchFamily="49" charset="0"/>
          </a:endParaRPr>
        </a:p>
        <a:p>
          <a:r>
            <a:rPr lang="en-US" sz="900" smtClean="0">
              <a:solidFill>
                <a:schemeClr val="dk1"/>
              </a:solidFill>
              <a:latin typeface="Courier New" panose="02070309020205020404" pitchFamily="49" charset="0"/>
              <a:ea typeface="+mn-ea"/>
              <a:cs typeface="Courier New" panose="02070309020205020404" pitchFamily="49" charset="0"/>
            </a:rPr>
            <a:t>*** FREQUENCIES ***</a:t>
          </a:r>
        </a:p>
        <a:p>
          <a:endParaRPr lang="en-US" sz="900" smtClean="0">
            <a:solidFill>
              <a:schemeClr val="dk1"/>
            </a:solidFill>
            <a:latin typeface="Courier New" panose="02070309020205020404" pitchFamily="49" charset="0"/>
            <a:ea typeface="+mn-ea"/>
            <a:cs typeface="Courier New" panose="02070309020205020404" pitchFamily="49" charset="0"/>
          </a:endParaRPr>
        </a:p>
        <a:p>
          <a:r>
            <a:rPr lang="en-US" sz="900" smtClean="0">
              <a:solidFill>
                <a:schemeClr val="dk1"/>
              </a:solidFill>
              <a:latin typeface="Courier New" panose="02070309020205020404" pitchFamily="49" charset="0"/>
              <a:ea typeface="+mn-ea"/>
              <a:cs typeface="Courier New" panose="02070309020205020404" pitchFamily="49" charset="0"/>
            </a:rPr>
            <a:t>  F S     observed  estimated  std. res.</a:t>
          </a:r>
        </a:p>
        <a:p>
          <a:r>
            <a:rPr lang="en-US" sz="900" smtClean="0">
              <a:solidFill>
                <a:schemeClr val="dk1"/>
              </a:solidFill>
              <a:latin typeface="Courier New" panose="02070309020205020404" pitchFamily="49" charset="0"/>
              <a:ea typeface="+mn-ea"/>
              <a:cs typeface="Courier New" panose="02070309020205020404" pitchFamily="49" charset="0"/>
            </a:rPr>
            <a:t>  1 1      57.000     34.015      3.941</a:t>
          </a:r>
        </a:p>
        <a:p>
          <a:r>
            <a:rPr lang="en-US" sz="900" smtClean="0">
              <a:solidFill>
                <a:schemeClr val="dk1"/>
              </a:solidFill>
              <a:latin typeface="Courier New" panose="02070309020205020404" pitchFamily="49" charset="0"/>
              <a:ea typeface="+mn-ea"/>
              <a:cs typeface="Courier New" panose="02070309020205020404" pitchFamily="49" charset="0"/>
            </a:rPr>
            <a:t>  1 2      11.000     13.146     -0.592</a:t>
          </a:r>
        </a:p>
        <a:p>
          <a:r>
            <a:rPr lang="en-US" sz="900" smtClean="0">
              <a:solidFill>
                <a:schemeClr val="dk1"/>
              </a:solidFill>
              <a:latin typeface="Courier New" panose="02070309020205020404" pitchFamily="49" charset="0"/>
              <a:ea typeface="+mn-ea"/>
              <a:cs typeface="Courier New" panose="02070309020205020404" pitchFamily="49" charset="0"/>
            </a:rPr>
            <a:t>  1 3       8.000     12.377     -1.244</a:t>
          </a:r>
        </a:p>
        <a:p>
          <a:r>
            <a:rPr lang="en-US" sz="900" smtClean="0">
              <a:solidFill>
                <a:schemeClr val="dk1"/>
              </a:solidFill>
              <a:latin typeface="Courier New" panose="02070309020205020404" pitchFamily="49" charset="0"/>
              <a:ea typeface="+mn-ea"/>
              <a:cs typeface="Courier New" panose="02070309020205020404" pitchFamily="49" charset="0"/>
            </a:rPr>
            <a:t>  1 4      39.000     39.649     -0.103</a:t>
          </a:r>
        </a:p>
        <a:p>
          <a:r>
            <a:rPr lang="en-US" sz="900" smtClean="0">
              <a:solidFill>
                <a:schemeClr val="dk1"/>
              </a:solidFill>
              <a:latin typeface="Courier New" panose="02070309020205020404" pitchFamily="49" charset="0"/>
              <a:ea typeface="+mn-ea"/>
              <a:cs typeface="Courier New" panose="02070309020205020404" pitchFamily="49" charset="0"/>
            </a:rPr>
            <a:t>  1 5      61.000     79.371     -2.062</a:t>
          </a:r>
        </a:p>
        <a:p>
          <a:r>
            <a:rPr lang="en-US" sz="900" smtClean="0">
              <a:solidFill>
                <a:schemeClr val="dk1"/>
              </a:solidFill>
              <a:latin typeface="Courier New" panose="02070309020205020404" pitchFamily="49" charset="0"/>
              <a:ea typeface="+mn-ea"/>
              <a:cs typeface="Courier New" panose="02070309020205020404" pitchFamily="49" charset="0"/>
            </a:rPr>
            <a:t>  1 6      69.000     66.444      0.314</a:t>
          </a:r>
        </a:p>
        <a:p>
          <a:r>
            <a:rPr lang="en-US" sz="900" smtClean="0">
              <a:solidFill>
                <a:schemeClr val="dk1"/>
              </a:solidFill>
              <a:latin typeface="Courier New" panose="02070309020205020404" pitchFamily="49" charset="0"/>
              <a:ea typeface="+mn-ea"/>
              <a:cs typeface="Courier New" panose="02070309020205020404" pitchFamily="49" charset="0"/>
            </a:rPr>
            <a:t>  2 1      36.000     25.411      2.101</a:t>
          </a:r>
        </a:p>
        <a:p>
          <a:r>
            <a:rPr lang="en-US" sz="900" smtClean="0">
              <a:solidFill>
                <a:schemeClr val="dk1"/>
              </a:solidFill>
              <a:latin typeface="Courier New" panose="02070309020205020404" pitchFamily="49" charset="0"/>
              <a:ea typeface="+mn-ea"/>
              <a:cs typeface="Courier New" panose="02070309020205020404" pitchFamily="49" charset="0"/>
            </a:rPr>
            <a:t>  2 2      13.000      9.408      1.171</a:t>
          </a:r>
        </a:p>
        <a:p>
          <a:r>
            <a:rPr lang="en-US" sz="900" smtClean="0">
              <a:solidFill>
                <a:schemeClr val="dk1"/>
              </a:solidFill>
              <a:latin typeface="Courier New" panose="02070309020205020404" pitchFamily="49" charset="0"/>
              <a:ea typeface="+mn-ea"/>
              <a:cs typeface="Courier New" panose="02070309020205020404" pitchFamily="49" charset="0"/>
            </a:rPr>
            <a:t>  2 3      17.000      9.587      2.394</a:t>
          </a:r>
        </a:p>
        <a:p>
          <a:r>
            <a:rPr lang="en-US" sz="900" smtClean="0">
              <a:solidFill>
                <a:schemeClr val="dk1"/>
              </a:solidFill>
              <a:latin typeface="Courier New" panose="02070309020205020404" pitchFamily="49" charset="0"/>
              <a:ea typeface="+mn-ea"/>
              <a:cs typeface="Courier New" panose="02070309020205020404" pitchFamily="49" charset="0"/>
            </a:rPr>
            <a:t>  2 4      22.000     27.682     -1.080</a:t>
          </a:r>
        </a:p>
        <a:p>
          <a:r>
            <a:rPr lang="en-US" sz="900" smtClean="0">
              <a:solidFill>
                <a:schemeClr val="dk1"/>
              </a:solidFill>
              <a:latin typeface="Courier New" panose="02070309020205020404" pitchFamily="49" charset="0"/>
              <a:ea typeface="+mn-ea"/>
              <a:cs typeface="Courier New" panose="02070309020205020404" pitchFamily="49" charset="0"/>
            </a:rPr>
            <a:t>  2 5      35.000     54.511     -2.643</a:t>
          </a:r>
        </a:p>
        <a:p>
          <a:r>
            <a:rPr lang="en-US" sz="900" smtClean="0">
              <a:solidFill>
                <a:schemeClr val="dk1"/>
              </a:solidFill>
              <a:latin typeface="Courier New" panose="02070309020205020404" pitchFamily="49" charset="0"/>
              <a:ea typeface="+mn-ea"/>
              <a:cs typeface="Courier New" panose="02070309020205020404" pitchFamily="49" charset="0"/>
            </a:rPr>
            <a:t>  2 6      31.000     27.401      0.687</a:t>
          </a:r>
        </a:p>
        <a:p>
          <a:r>
            <a:rPr lang="en-US" sz="900" smtClean="0">
              <a:solidFill>
                <a:schemeClr val="dk1"/>
              </a:solidFill>
              <a:latin typeface="Courier New" panose="02070309020205020404" pitchFamily="49" charset="0"/>
              <a:ea typeface="+mn-ea"/>
              <a:cs typeface="Courier New" panose="02070309020205020404" pitchFamily="49" charset="0"/>
            </a:rPr>
            <a:t>  3 1      14.000     11.280      0.810</a:t>
          </a:r>
        </a:p>
        <a:p>
          <a:r>
            <a:rPr lang="en-US" sz="900" smtClean="0">
              <a:solidFill>
                <a:schemeClr val="dk1"/>
              </a:solidFill>
              <a:latin typeface="Courier New" panose="02070309020205020404" pitchFamily="49" charset="0"/>
              <a:ea typeface="+mn-ea"/>
              <a:cs typeface="Courier New" panose="02070309020205020404" pitchFamily="49" charset="0"/>
            </a:rPr>
            <a:t>  3 2       4.000      4.237     -0.115</a:t>
          </a:r>
        </a:p>
        <a:p>
          <a:r>
            <a:rPr lang="en-US" sz="900" smtClean="0">
              <a:solidFill>
                <a:schemeClr val="dk1"/>
              </a:solidFill>
              <a:latin typeface="Courier New" panose="02070309020205020404" pitchFamily="49" charset="0"/>
              <a:ea typeface="+mn-ea"/>
              <a:cs typeface="Courier New" panose="02070309020205020404" pitchFamily="49" charset="0"/>
            </a:rPr>
            <a:t>  3 3       8.000      4.205      1.851</a:t>
          </a:r>
        </a:p>
        <a:p>
          <a:r>
            <a:rPr lang="en-US" sz="900" smtClean="0">
              <a:solidFill>
                <a:schemeClr val="dk1"/>
              </a:solidFill>
              <a:latin typeface="Courier New" panose="02070309020205020404" pitchFamily="49" charset="0"/>
              <a:ea typeface="+mn-ea"/>
              <a:cs typeface="Courier New" panose="02070309020205020404" pitchFamily="49" charset="0"/>
            </a:rPr>
            <a:t>  3 4       8.000     12.569     -1.289</a:t>
          </a:r>
        </a:p>
        <a:p>
          <a:r>
            <a:rPr lang="en-US" sz="900" smtClean="0">
              <a:solidFill>
                <a:schemeClr val="dk1"/>
              </a:solidFill>
              <a:latin typeface="Courier New" panose="02070309020205020404" pitchFamily="49" charset="0"/>
              <a:ea typeface="+mn-ea"/>
              <a:cs typeface="Courier New" panose="02070309020205020404" pitchFamily="49" charset="0"/>
            </a:rPr>
            <a:t>  3 5      22.000     24.886     -0.578</a:t>
          </a:r>
        </a:p>
        <a:p>
          <a:r>
            <a:rPr lang="en-US" sz="900" smtClean="0">
              <a:solidFill>
                <a:schemeClr val="dk1"/>
              </a:solidFill>
              <a:latin typeface="Courier New" panose="02070309020205020404" pitchFamily="49" charset="0"/>
              <a:ea typeface="+mn-ea"/>
              <a:cs typeface="Courier New" panose="02070309020205020404" pitchFamily="49" charset="0"/>
            </a:rPr>
            <a:t>  3 6      16.000     14.825      0.305</a:t>
          </a:r>
        </a:p>
        <a:p>
          <a:r>
            <a:rPr lang="en-US" sz="900" smtClean="0">
              <a:solidFill>
                <a:schemeClr val="dk1"/>
              </a:solidFill>
              <a:latin typeface="Courier New" panose="02070309020205020404" pitchFamily="49" charset="0"/>
              <a:ea typeface="+mn-ea"/>
              <a:cs typeface="Courier New" panose="02070309020205020404" pitchFamily="49" charset="0"/>
            </a:rPr>
            <a:t>  4 1      19.000     25.260     -1.246</a:t>
          </a:r>
        </a:p>
        <a:p>
          <a:r>
            <a:rPr lang="en-US" sz="900" smtClean="0">
              <a:solidFill>
                <a:schemeClr val="dk1"/>
              </a:solidFill>
              <a:latin typeface="Courier New" panose="02070309020205020404" pitchFamily="49" charset="0"/>
              <a:ea typeface="+mn-ea"/>
              <a:cs typeface="Courier New" panose="02070309020205020404" pitchFamily="49" charset="0"/>
            </a:rPr>
            <a:t>  4 2      14.000      9.436      1.486</a:t>
          </a:r>
        </a:p>
        <a:p>
          <a:r>
            <a:rPr lang="en-US" sz="900" smtClean="0">
              <a:solidFill>
                <a:schemeClr val="dk1"/>
              </a:solidFill>
              <a:latin typeface="Courier New" panose="02070309020205020404" pitchFamily="49" charset="0"/>
              <a:ea typeface="+mn-ea"/>
              <a:cs typeface="Courier New" panose="02070309020205020404" pitchFamily="49" charset="0"/>
            </a:rPr>
            <a:t>  4 3       6.000      9.459     -1.125</a:t>
          </a:r>
        </a:p>
        <a:p>
          <a:r>
            <a:rPr lang="en-US" sz="900" smtClean="0">
              <a:solidFill>
                <a:schemeClr val="dk1"/>
              </a:solidFill>
              <a:latin typeface="Courier New" panose="02070309020205020404" pitchFamily="49" charset="0"/>
              <a:ea typeface="+mn-ea"/>
              <a:cs typeface="Courier New" panose="02070309020205020404" pitchFamily="49" charset="0"/>
            </a:rPr>
            <a:t>  4 4      49.000     27.905      3.993</a:t>
          </a:r>
        </a:p>
        <a:p>
          <a:r>
            <a:rPr lang="en-US" sz="900" smtClean="0">
              <a:solidFill>
                <a:schemeClr val="dk1"/>
              </a:solidFill>
              <a:latin typeface="Courier New" panose="02070309020205020404" pitchFamily="49" charset="0"/>
              <a:ea typeface="+mn-ea"/>
              <a:cs typeface="Courier New" panose="02070309020205020404" pitchFamily="49" charset="0"/>
            </a:rPr>
            <a:t>  4 5      40.000     55.138     -2.039</a:t>
          </a:r>
        </a:p>
        <a:p>
          <a:r>
            <a:rPr lang="en-US" sz="900" smtClean="0">
              <a:solidFill>
                <a:schemeClr val="dk1"/>
              </a:solidFill>
              <a:latin typeface="Courier New" panose="02070309020205020404" pitchFamily="49" charset="0"/>
              <a:ea typeface="+mn-ea"/>
              <a:cs typeface="Courier New" panose="02070309020205020404" pitchFamily="49" charset="0"/>
            </a:rPr>
            <a:t>  4 6      30.000     30.803     -0.145</a:t>
          </a:r>
        </a:p>
        <a:p>
          <a:r>
            <a:rPr lang="en-US" sz="900" smtClean="0">
              <a:solidFill>
                <a:schemeClr val="dk1"/>
              </a:solidFill>
              <a:latin typeface="Courier New" panose="02070309020205020404" pitchFamily="49" charset="0"/>
              <a:ea typeface="+mn-ea"/>
              <a:cs typeface="Courier New" panose="02070309020205020404" pitchFamily="49" charset="0"/>
            </a:rPr>
            <a:t>  5 1      46.000     76.273     -3.466</a:t>
          </a:r>
        </a:p>
        <a:p>
          <a:r>
            <a:rPr lang="en-US" sz="900" smtClean="0">
              <a:solidFill>
                <a:schemeClr val="dk1"/>
              </a:solidFill>
              <a:latin typeface="Courier New" panose="02070309020205020404" pitchFamily="49" charset="0"/>
              <a:ea typeface="+mn-ea"/>
              <a:cs typeface="Courier New" panose="02070309020205020404" pitchFamily="49" charset="0"/>
            </a:rPr>
            <a:t>  5 2      22.000     29.207     -1.334</a:t>
          </a:r>
        </a:p>
        <a:p>
          <a:r>
            <a:rPr lang="en-US" sz="900" smtClean="0">
              <a:solidFill>
                <a:schemeClr val="dk1"/>
              </a:solidFill>
              <a:latin typeface="Courier New" panose="02070309020205020404" pitchFamily="49" charset="0"/>
              <a:ea typeface="+mn-ea"/>
              <a:cs typeface="Courier New" panose="02070309020205020404" pitchFamily="49" charset="0"/>
            </a:rPr>
            <a:t>  5 3      23.000     27.970     -0.940</a:t>
          </a:r>
        </a:p>
        <a:p>
          <a:r>
            <a:rPr lang="en-US" sz="900" smtClean="0">
              <a:solidFill>
                <a:schemeClr val="dk1"/>
              </a:solidFill>
              <a:latin typeface="Courier New" panose="02070309020205020404" pitchFamily="49" charset="0"/>
              <a:ea typeface="+mn-ea"/>
              <a:cs typeface="Courier New" panose="02070309020205020404" pitchFamily="49" charset="0"/>
            </a:rPr>
            <a:t>  5 4      76.000     87.623     -1.242</a:t>
          </a:r>
        </a:p>
        <a:p>
          <a:r>
            <a:rPr lang="en-US" sz="900" smtClean="0">
              <a:solidFill>
                <a:schemeClr val="dk1"/>
              </a:solidFill>
              <a:latin typeface="Courier New" panose="02070309020205020404" pitchFamily="49" charset="0"/>
              <a:ea typeface="+mn-ea"/>
              <a:cs typeface="Courier New" panose="02070309020205020404" pitchFamily="49" charset="0"/>
            </a:rPr>
            <a:t>  5 5     236.000    174.790      4.630</a:t>
          </a:r>
        </a:p>
        <a:p>
          <a:r>
            <a:rPr lang="en-US" sz="900" smtClean="0">
              <a:solidFill>
                <a:schemeClr val="dk1"/>
              </a:solidFill>
              <a:latin typeface="Courier New" panose="02070309020205020404" pitchFamily="49" charset="0"/>
              <a:ea typeface="+mn-ea"/>
              <a:cs typeface="Courier New" panose="02070309020205020404" pitchFamily="49" charset="0"/>
            </a:rPr>
            <a:t>  5 6     124.000    131.141     -0.624</a:t>
          </a:r>
        </a:p>
        <a:p>
          <a:r>
            <a:rPr lang="en-US" sz="900" smtClean="0">
              <a:solidFill>
                <a:schemeClr val="dk1"/>
              </a:solidFill>
              <a:latin typeface="Courier New" panose="02070309020205020404" pitchFamily="49" charset="0"/>
              <a:ea typeface="+mn-ea"/>
              <a:cs typeface="Courier New" panose="02070309020205020404" pitchFamily="49" charset="0"/>
            </a:rPr>
            <a:t>  6 1     131.000    130.760      0.021</a:t>
          </a:r>
        </a:p>
        <a:p>
          <a:r>
            <a:rPr lang="en-US" sz="900" smtClean="0">
              <a:solidFill>
                <a:schemeClr val="dk1"/>
              </a:solidFill>
              <a:latin typeface="Courier New" panose="02070309020205020404" pitchFamily="49" charset="0"/>
              <a:ea typeface="+mn-ea"/>
              <a:cs typeface="Courier New" panose="02070309020205020404" pitchFamily="49" charset="0"/>
            </a:rPr>
            <a:t>  6 2      61.000     59.567      0.186</a:t>
          </a:r>
        </a:p>
        <a:p>
          <a:r>
            <a:rPr lang="en-US" sz="900" smtClean="0">
              <a:solidFill>
                <a:schemeClr val="dk1"/>
              </a:solidFill>
              <a:latin typeface="Courier New" panose="02070309020205020404" pitchFamily="49" charset="0"/>
              <a:ea typeface="+mn-ea"/>
              <a:cs typeface="Courier New" panose="02070309020205020404" pitchFamily="49" charset="0"/>
            </a:rPr>
            <a:t>  6 3      43.000     41.402      0.248</a:t>
          </a:r>
        </a:p>
        <a:p>
          <a:r>
            <a:rPr lang="en-US" sz="900" smtClean="0">
              <a:solidFill>
                <a:schemeClr val="dk1"/>
              </a:solidFill>
              <a:latin typeface="Courier New" panose="02070309020205020404" pitchFamily="49" charset="0"/>
              <a:ea typeface="+mn-ea"/>
              <a:cs typeface="Courier New" panose="02070309020205020404" pitchFamily="49" charset="0"/>
            </a:rPr>
            <a:t>  6 4     199.000    197.572      0.102</a:t>
          </a:r>
        </a:p>
        <a:p>
          <a:r>
            <a:rPr lang="en-US" sz="900" smtClean="0">
              <a:solidFill>
                <a:schemeClr val="dk1"/>
              </a:solidFill>
              <a:latin typeface="Courier New" panose="02070309020205020404" pitchFamily="49" charset="0"/>
              <a:ea typeface="+mn-ea"/>
              <a:cs typeface="Courier New" panose="02070309020205020404" pitchFamily="49" charset="0"/>
            </a:rPr>
            <a:t>  6 5     416.000    421.304     -0.258</a:t>
          </a:r>
        </a:p>
        <a:p>
          <a:r>
            <a:rPr lang="en-US" sz="900" smtClean="0">
              <a:solidFill>
                <a:schemeClr val="dk1"/>
              </a:solidFill>
              <a:latin typeface="Courier New" panose="02070309020205020404" pitchFamily="49" charset="0"/>
              <a:ea typeface="+mn-ea"/>
              <a:cs typeface="Courier New" panose="02070309020205020404" pitchFamily="49" charset="0"/>
            </a:rPr>
            <a:t>  6 6    2495.000   2494.387      0.012</a:t>
          </a:r>
        </a:p>
        <a:p>
          <a:endParaRPr lang="en-US" sz="900" smtClean="0">
            <a:solidFill>
              <a:schemeClr val="dk1"/>
            </a:solidFill>
            <a:latin typeface="Courier New" panose="02070309020205020404" pitchFamily="49" charset="0"/>
            <a:ea typeface="+mn-ea"/>
            <a:cs typeface="Courier New" panose="02070309020205020404" pitchFamily="49" charset="0"/>
          </a:endParaRPr>
        </a:p>
        <a:p>
          <a:endParaRPr lang="en-US" sz="900" smtClean="0">
            <a:solidFill>
              <a:schemeClr val="dk1"/>
            </a:solidFill>
            <a:latin typeface="Courier New" panose="02070309020205020404" pitchFamily="49" charset="0"/>
            <a:ea typeface="+mn-ea"/>
            <a:cs typeface="Courier New" panose="02070309020205020404" pitchFamily="49" charset="0"/>
          </a:endParaRPr>
        </a:p>
        <a:p>
          <a:endParaRPr lang="en-US" sz="900" smtClean="0">
            <a:solidFill>
              <a:schemeClr val="dk1"/>
            </a:solidFill>
            <a:latin typeface="Courier New" panose="02070309020205020404" pitchFamily="49" charset="0"/>
            <a:ea typeface="+mn-ea"/>
            <a:cs typeface="Courier New" panose="02070309020205020404" pitchFamily="49" charset="0"/>
          </a:endParaRPr>
        </a:p>
        <a:p>
          <a:r>
            <a:rPr lang="en-US" sz="900" smtClean="0">
              <a:solidFill>
                <a:schemeClr val="dk1"/>
              </a:solidFill>
              <a:latin typeface="Courier New" panose="02070309020205020404" pitchFamily="49" charset="0"/>
              <a:ea typeface="+mn-ea"/>
              <a:cs typeface="Courier New" panose="02070309020205020404" pitchFamily="49" charset="0"/>
            </a:rPr>
            <a:t>*** LOG-LINEAR PARAMETERS ***</a:t>
          </a:r>
        </a:p>
        <a:p>
          <a:endParaRPr lang="en-US" sz="900" smtClean="0">
            <a:solidFill>
              <a:schemeClr val="dk1"/>
            </a:solidFill>
            <a:latin typeface="Courier New" panose="02070309020205020404" pitchFamily="49" charset="0"/>
            <a:ea typeface="+mn-ea"/>
            <a:cs typeface="Courier New" panose="02070309020205020404" pitchFamily="49" charset="0"/>
          </a:endParaRPr>
        </a:p>
        <a:p>
          <a:r>
            <a:rPr lang="en-US" sz="900" smtClean="0">
              <a:solidFill>
                <a:schemeClr val="dk1"/>
              </a:solidFill>
              <a:latin typeface="Courier New" panose="02070309020205020404" pitchFamily="49" charset="0"/>
              <a:ea typeface="+mn-ea"/>
              <a:cs typeface="Courier New" panose="02070309020205020404" pitchFamily="49" charset="0"/>
            </a:rPr>
            <a:t>*These are just our boring row and</a:t>
          </a:r>
          <a:r>
            <a:rPr lang="en-US" sz="900" baseline="0" smtClean="0">
              <a:solidFill>
                <a:schemeClr val="dk1"/>
              </a:solidFill>
              <a:latin typeface="Courier New" panose="02070309020205020404" pitchFamily="49" charset="0"/>
              <a:ea typeface="+mn-ea"/>
              <a:cs typeface="Courier New" panose="02070309020205020404" pitchFamily="49" charset="0"/>
            </a:rPr>
            <a:t> column parameters:</a:t>
          </a:r>
          <a:endParaRPr lang="en-US" sz="900" smtClean="0">
            <a:solidFill>
              <a:schemeClr val="dk1"/>
            </a:solidFill>
            <a:latin typeface="Courier New" panose="02070309020205020404" pitchFamily="49" charset="0"/>
            <a:ea typeface="+mn-ea"/>
            <a:cs typeface="Courier New" panose="02070309020205020404" pitchFamily="49" charset="0"/>
          </a:endParaRPr>
        </a:p>
        <a:p>
          <a:r>
            <a:rPr lang="en-US" sz="900" smtClean="0">
              <a:solidFill>
                <a:schemeClr val="dk1"/>
              </a:solidFill>
              <a:latin typeface="Courier New" panose="02070309020205020404" pitchFamily="49" charset="0"/>
              <a:ea typeface="+mn-ea"/>
              <a:cs typeface="Courier New" panose="02070309020205020404" pitchFamily="49" charset="0"/>
            </a:rPr>
            <a:t>* TABLE FS [or P(FS)] *</a:t>
          </a:r>
        </a:p>
        <a:p>
          <a:endParaRPr lang="en-US" sz="900" smtClean="0">
            <a:solidFill>
              <a:schemeClr val="dk1"/>
            </a:solidFill>
            <a:latin typeface="Courier New" panose="02070309020205020404" pitchFamily="49" charset="0"/>
            <a:ea typeface="+mn-ea"/>
            <a:cs typeface="Courier New" panose="02070309020205020404" pitchFamily="49" charset="0"/>
          </a:endParaRPr>
        </a:p>
        <a:p>
          <a:r>
            <a:rPr lang="en-US" sz="900" smtClean="0">
              <a:solidFill>
                <a:schemeClr val="dk1"/>
              </a:solidFill>
              <a:latin typeface="Courier New" panose="02070309020205020404" pitchFamily="49" charset="0"/>
              <a:ea typeface="+mn-ea"/>
              <a:cs typeface="Courier New" panose="02070309020205020404" pitchFamily="49" charset="0"/>
            </a:rPr>
            <a:t>  effect           beta   exp(beta)</a:t>
          </a:r>
        </a:p>
        <a:p>
          <a:r>
            <a:rPr lang="en-US" sz="900" smtClean="0">
              <a:solidFill>
                <a:schemeClr val="dk1"/>
              </a:solidFill>
              <a:latin typeface="Courier New" panose="02070309020205020404" pitchFamily="49" charset="0"/>
              <a:ea typeface="+mn-ea"/>
              <a:cs typeface="Courier New" panose="02070309020205020404" pitchFamily="49" charset="0"/>
            </a:rPr>
            <a:t>  main           3.5793     35.8495 </a:t>
          </a:r>
        </a:p>
        <a:p>
          <a:r>
            <a:rPr lang="en-US" sz="900" smtClean="0">
              <a:solidFill>
                <a:schemeClr val="dk1"/>
              </a:solidFill>
              <a:latin typeface="Courier New" panose="02070309020205020404" pitchFamily="49" charset="0"/>
              <a:ea typeface="+mn-ea"/>
              <a:cs typeface="Courier New" panose="02070309020205020404" pitchFamily="49" charset="0"/>
            </a:rPr>
            <a:t>  F </a:t>
          </a:r>
        </a:p>
        <a:p>
          <a:r>
            <a:rPr lang="en-US" sz="900" smtClean="0">
              <a:solidFill>
                <a:schemeClr val="dk1"/>
              </a:solidFill>
              <a:latin typeface="Courier New" panose="02070309020205020404" pitchFamily="49" charset="0"/>
              <a:ea typeface="+mn-ea"/>
              <a:cs typeface="Courier New" panose="02070309020205020404" pitchFamily="49" charset="0"/>
            </a:rPr>
            <a:t>   1            -0.1011      0.9038 </a:t>
          </a:r>
        </a:p>
        <a:p>
          <a:r>
            <a:rPr lang="en-US" sz="900" smtClean="0">
              <a:solidFill>
                <a:schemeClr val="dk1"/>
              </a:solidFill>
              <a:latin typeface="Courier New" panose="02070309020205020404" pitchFamily="49" charset="0"/>
              <a:ea typeface="+mn-ea"/>
              <a:cs typeface="Courier New" panose="02070309020205020404" pitchFamily="49" charset="0"/>
            </a:rPr>
            <a:t>   2            -0.5182      0.5956 </a:t>
          </a:r>
        </a:p>
        <a:p>
          <a:r>
            <a:rPr lang="en-US" sz="900" smtClean="0">
              <a:solidFill>
                <a:schemeClr val="dk1"/>
              </a:solidFill>
              <a:latin typeface="Courier New" panose="02070309020205020404" pitchFamily="49" charset="0"/>
              <a:ea typeface="+mn-ea"/>
              <a:cs typeface="Courier New" panose="02070309020205020404" pitchFamily="49" charset="0"/>
            </a:rPr>
            <a:t>   3            -1.2885      0.2757 </a:t>
          </a:r>
        </a:p>
        <a:p>
          <a:r>
            <a:rPr lang="en-US" sz="900" smtClean="0">
              <a:solidFill>
                <a:schemeClr val="dk1"/>
              </a:solidFill>
              <a:latin typeface="Courier New" panose="02070309020205020404" pitchFamily="49" charset="0"/>
              <a:ea typeface="+mn-ea"/>
              <a:cs typeface="Courier New" panose="02070309020205020404" pitchFamily="49" charset="0"/>
            </a:rPr>
            <a:t>   4            -0.4982      0.6076 </a:t>
          </a:r>
        </a:p>
        <a:p>
          <a:r>
            <a:rPr lang="en-US" sz="900" smtClean="0">
              <a:solidFill>
                <a:schemeClr val="dk1"/>
              </a:solidFill>
              <a:latin typeface="Courier New" panose="02070309020205020404" pitchFamily="49" charset="0"/>
              <a:ea typeface="+mn-ea"/>
              <a:cs typeface="Courier New" panose="02070309020205020404" pitchFamily="49" charset="0"/>
            </a:rPr>
            <a:t>   5             0.6795      1.9728 </a:t>
          </a:r>
        </a:p>
        <a:p>
          <a:r>
            <a:rPr lang="en-US" sz="900" smtClean="0">
              <a:solidFill>
                <a:schemeClr val="dk1"/>
              </a:solidFill>
              <a:latin typeface="Courier New" panose="02070309020205020404" pitchFamily="49" charset="0"/>
              <a:ea typeface="+mn-ea"/>
              <a:cs typeface="Courier New" panose="02070309020205020404" pitchFamily="49" charset="0"/>
            </a:rPr>
            <a:t>   6             1.7265      5.6210 </a:t>
          </a:r>
        </a:p>
        <a:p>
          <a:r>
            <a:rPr lang="en-US" sz="900" smtClean="0">
              <a:solidFill>
                <a:schemeClr val="dk1"/>
              </a:solidFill>
              <a:latin typeface="Courier New" panose="02070309020205020404" pitchFamily="49" charset="0"/>
              <a:ea typeface="+mn-ea"/>
              <a:cs typeface="Courier New" panose="02070309020205020404" pitchFamily="49" charset="0"/>
            </a:rPr>
            <a:t>  S </a:t>
          </a:r>
        </a:p>
        <a:p>
          <a:r>
            <a:rPr lang="en-US" sz="900" smtClean="0">
              <a:solidFill>
                <a:schemeClr val="dk1"/>
              </a:solidFill>
              <a:latin typeface="Courier New" panose="02070309020205020404" pitchFamily="49" charset="0"/>
              <a:ea typeface="+mn-ea"/>
              <a:cs typeface="Courier New" panose="02070309020205020404" pitchFamily="49" charset="0"/>
            </a:rPr>
            <a:t>   1             0.0243      1.0246 </a:t>
          </a:r>
        </a:p>
        <a:p>
          <a:r>
            <a:rPr lang="en-US" sz="900" smtClean="0">
              <a:solidFill>
                <a:schemeClr val="dk1"/>
              </a:solidFill>
              <a:latin typeface="Courier New" panose="02070309020205020404" pitchFamily="49" charset="0"/>
              <a:ea typeface="+mn-ea"/>
              <a:cs typeface="Courier New" panose="02070309020205020404" pitchFamily="49" charset="0"/>
            </a:rPr>
            <a:t>   2            -0.9181      0.3993 </a:t>
          </a:r>
        </a:p>
        <a:p>
          <a:r>
            <a:rPr lang="en-US" sz="900" smtClean="0">
              <a:solidFill>
                <a:schemeClr val="dk1"/>
              </a:solidFill>
              <a:latin typeface="Courier New" panose="02070309020205020404" pitchFamily="49" charset="0"/>
              <a:ea typeface="+mn-ea"/>
              <a:cs typeface="Courier New" panose="02070309020205020404" pitchFamily="49" charset="0"/>
            </a:rPr>
            <a:t>   3            -0.9937      0.3702 </a:t>
          </a:r>
        </a:p>
        <a:p>
          <a:r>
            <a:rPr lang="en-US" sz="900" smtClean="0">
              <a:solidFill>
                <a:schemeClr val="dk1"/>
              </a:solidFill>
              <a:latin typeface="Courier New" panose="02070309020205020404" pitchFamily="49" charset="0"/>
              <a:ea typeface="+mn-ea"/>
              <a:cs typeface="Courier New" panose="02070309020205020404" pitchFamily="49" charset="0"/>
            </a:rPr>
            <a:t>   4             0.1907      1.2101 </a:t>
          </a:r>
        </a:p>
        <a:p>
          <a:r>
            <a:rPr lang="en-US" sz="900" smtClean="0">
              <a:solidFill>
                <a:schemeClr val="dk1"/>
              </a:solidFill>
              <a:latin typeface="Courier New" panose="02070309020205020404" pitchFamily="49" charset="0"/>
              <a:ea typeface="+mn-ea"/>
              <a:cs typeface="Courier New" panose="02070309020205020404" pitchFamily="49" charset="0"/>
            </a:rPr>
            <a:t>   5             0.8879      2.4301 </a:t>
          </a:r>
        </a:p>
        <a:p>
          <a:r>
            <a:rPr lang="en-US" sz="900" smtClean="0">
              <a:solidFill>
                <a:schemeClr val="dk1"/>
              </a:solidFill>
              <a:latin typeface="Courier New" panose="02070309020205020404" pitchFamily="49" charset="0"/>
              <a:ea typeface="+mn-ea"/>
              <a:cs typeface="Courier New" panose="02070309020205020404" pitchFamily="49" charset="0"/>
            </a:rPr>
            <a:t>   6             0.8088      2.2453 </a:t>
          </a:r>
        </a:p>
        <a:p>
          <a:endParaRPr lang="en-US" sz="900" smtClean="0">
            <a:solidFill>
              <a:schemeClr val="dk1"/>
            </a:solidFill>
            <a:latin typeface="Courier New" panose="02070309020205020404" pitchFamily="49" charset="0"/>
            <a:ea typeface="+mn-ea"/>
            <a:cs typeface="Courier New" panose="02070309020205020404" pitchFamily="49" charset="0"/>
          </a:endParaRPr>
        </a:p>
        <a:p>
          <a:endParaRPr lang="en-US" sz="900" smtClean="0">
            <a:solidFill>
              <a:schemeClr val="dk1"/>
            </a:solidFill>
            <a:latin typeface="Courier New" panose="02070309020205020404" pitchFamily="49" charset="0"/>
            <a:ea typeface="+mn-ea"/>
            <a:cs typeface="Courier New" panose="02070309020205020404" pitchFamily="49" charset="0"/>
          </a:endParaRPr>
        </a:p>
        <a:p>
          <a:r>
            <a:rPr lang="en-US" sz="900" smtClean="0">
              <a:solidFill>
                <a:schemeClr val="dk1"/>
              </a:solidFill>
              <a:latin typeface="Courier New" panose="02070309020205020404" pitchFamily="49" charset="0"/>
              <a:ea typeface="+mn-ea"/>
              <a:cs typeface="Courier New" panose="02070309020205020404" pitchFamily="49" charset="0"/>
            </a:rPr>
            <a:t>*These association parameters are where the real</a:t>
          </a:r>
          <a:r>
            <a:rPr lang="en-US" sz="900" baseline="0" smtClean="0">
              <a:solidFill>
                <a:schemeClr val="dk1"/>
              </a:solidFill>
              <a:latin typeface="Courier New" panose="02070309020205020404" pitchFamily="49" charset="0"/>
              <a:ea typeface="+mn-ea"/>
              <a:cs typeface="Courier New" panose="02070309020205020404" pitchFamily="49" charset="0"/>
            </a:rPr>
            <a:t> results are supposed to lie. RC models give you a scaling of how far apart the categories are. This tells us that the last category, category 6, is the furthest from the others (which we already knew).</a:t>
          </a:r>
          <a:endParaRPr lang="en-US" sz="900" smtClean="0">
            <a:solidFill>
              <a:schemeClr val="dk1"/>
            </a:solidFill>
            <a:latin typeface="Courier New" panose="02070309020205020404" pitchFamily="49" charset="0"/>
            <a:ea typeface="+mn-ea"/>
            <a:cs typeface="Courier New" panose="02070309020205020404" pitchFamily="49" charset="0"/>
          </a:endParaRPr>
        </a:p>
        <a:p>
          <a:r>
            <a:rPr lang="en-US" sz="900" smtClean="0">
              <a:solidFill>
                <a:schemeClr val="dk1"/>
              </a:solidFill>
              <a:latin typeface="Courier New" panose="02070309020205020404" pitchFamily="49" charset="0"/>
              <a:ea typeface="+mn-ea"/>
              <a:cs typeface="Courier New" panose="02070309020205020404" pitchFamily="49" charset="0"/>
            </a:rPr>
            <a:t>  type 2 association (row=F column=S)</a:t>
          </a:r>
        </a:p>
        <a:p>
          <a:r>
            <a:rPr lang="en-US" sz="900" smtClean="0">
              <a:solidFill>
                <a:schemeClr val="dk1"/>
              </a:solidFill>
              <a:latin typeface="Courier New" panose="02070309020205020404" pitchFamily="49" charset="0"/>
              <a:ea typeface="+mn-ea"/>
              <a:cs typeface="Courier New" panose="02070309020205020404" pitchFamily="49" charset="0"/>
            </a:rPr>
            <a:t>  association    2.1309</a:t>
          </a:r>
        </a:p>
        <a:p>
          <a:r>
            <a:rPr lang="en-US" sz="900" smtClean="0">
              <a:solidFill>
                <a:schemeClr val="dk1"/>
              </a:solidFill>
              <a:latin typeface="Courier New" panose="02070309020205020404" pitchFamily="49" charset="0"/>
              <a:ea typeface="+mn-ea"/>
              <a:cs typeface="Courier New" panose="02070309020205020404" pitchFamily="49" charset="0"/>
            </a:rPr>
            <a:t>  row           -0.0475  -0.2929  -0.2112  -0.2421  -0.1002   0.8937</a:t>
          </a:r>
        </a:p>
        <a:p>
          <a:r>
            <a:rPr lang="en-US" sz="900" smtClean="0">
              <a:solidFill>
                <a:schemeClr val="dk1"/>
              </a:solidFill>
              <a:latin typeface="Courier New" panose="02070309020205020404" pitchFamily="49" charset="0"/>
              <a:ea typeface="+mn-ea"/>
              <a:cs typeface="Courier New" panose="02070309020205020404" pitchFamily="49" charset="0"/>
            </a:rPr>
            <a:t>  adj row       -0.0693  -0.4275  -0.3083  -0.3534  -0.1462   1.3046</a:t>
          </a:r>
        </a:p>
        <a:p>
          <a:r>
            <a:rPr lang="en-US" sz="900" smtClean="0">
              <a:solidFill>
                <a:schemeClr val="dk1"/>
              </a:solidFill>
              <a:latin typeface="Courier New" panose="02070309020205020404" pitchFamily="49" charset="0"/>
              <a:ea typeface="+mn-ea"/>
              <a:cs typeface="Courier New" panose="02070309020205020404" pitchFamily="49" charset="0"/>
            </a:rPr>
            <a:t>  column        -0.2399  -0.1579  -0.3092  -0.1105  -0.0790   0.8964</a:t>
          </a:r>
        </a:p>
        <a:p>
          <a:r>
            <a:rPr lang="en-US" sz="900" smtClean="0">
              <a:solidFill>
                <a:schemeClr val="dk1"/>
              </a:solidFill>
              <a:latin typeface="Courier New" panose="02070309020205020404" pitchFamily="49" charset="0"/>
              <a:ea typeface="+mn-ea"/>
              <a:cs typeface="Courier New" panose="02070309020205020404" pitchFamily="49" charset="0"/>
            </a:rPr>
            <a:t>  adj column    -0.3501  -0.2305  -0.4513  -0.1613  -0.1153   1.3085</a:t>
          </a:r>
        </a:p>
        <a:p>
          <a:endParaRPr lang="en-US" sz="900" smtClean="0">
            <a:solidFill>
              <a:schemeClr val="dk1"/>
            </a:solidFill>
            <a:latin typeface="Courier New" panose="02070309020205020404" pitchFamily="49" charset="0"/>
            <a:ea typeface="+mn-ea"/>
            <a:cs typeface="Courier New" panose="02070309020205020404" pitchFamily="49" charset="0"/>
          </a:endParaRPr>
        </a:p>
        <a:p>
          <a:endParaRPr lang="en-US" sz="900" smtClean="0">
            <a:solidFill>
              <a:schemeClr val="dk1"/>
            </a:solidFill>
            <a:latin typeface="Courier New" panose="02070309020205020404" pitchFamily="49" charset="0"/>
            <a:ea typeface="+mn-ea"/>
            <a:cs typeface="Courier New" panose="02070309020205020404" pitchFamily="49" charset="0"/>
          </a:endParaRPr>
        </a:p>
        <a:p>
          <a:endParaRPr lang="en-US" sz="900">
            <a:latin typeface="Courier New" panose="02070309020205020404" pitchFamily="49" charset="0"/>
            <a:cs typeface="Courier New" panose="02070309020205020404" pitchFamily="49" charset="0"/>
          </a:endParaRPr>
        </a:p>
      </xdr:txBody>
    </xdr:sp>
    <xdr:clientData/>
  </xdr:oneCellAnchor>
</xdr:wsDr>
</file>

<file path=xl/drawings/drawing8.xml><?xml version="1.0" encoding="utf-8"?>
<xdr:wsDr xmlns:xdr="http://schemas.openxmlformats.org/drawingml/2006/spreadsheetDrawing" xmlns:a="http://schemas.openxmlformats.org/drawingml/2006/main">
  <xdr:oneCellAnchor>
    <xdr:from>
      <xdr:col>6</xdr:col>
      <xdr:colOff>66675</xdr:colOff>
      <xdr:row>21</xdr:row>
      <xdr:rowOff>38100</xdr:rowOff>
    </xdr:from>
    <xdr:ext cx="7286625" cy="53843201"/>
    <xdr:sp macro="" textlink="">
      <xdr:nvSpPr>
        <xdr:cNvPr id="2" name="TextBox 1"/>
        <xdr:cNvSpPr txBox="1"/>
      </xdr:nvSpPr>
      <xdr:spPr>
        <a:xfrm>
          <a:off x="3358515" y="4381500"/>
          <a:ext cx="7286625" cy="538432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lang="en-US" sz="900">
              <a:latin typeface="Courier New" panose="02070309020205020404" pitchFamily="49" charset="0"/>
              <a:cs typeface="Courier New" panose="02070309020205020404" pitchFamily="49" charset="0"/>
            </a:rPr>
            <a:t>*Getting started:</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use "C:\Users\mexmi\Downloads\five cat intermar data US 3 decades.dta" </a:t>
          </a:r>
        </a:p>
        <a:p>
          <a:endParaRPr lang="en-US" sz="900">
            <a:latin typeface="Courier New" panose="02070309020205020404" pitchFamily="49" charset="0"/>
            <a:cs typeface="Courier New" panose="02070309020205020404" pitchFamily="49" charset="0"/>
          </a:endParaRPr>
        </a:p>
        <a:p>
          <a:endParaRPr lang="en-US" sz="9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We</a:t>
          </a:r>
          <a:r>
            <a:rPr lang="en-US" sz="800" baseline="0">
              <a:latin typeface="Courier New" panose="02070309020205020404" pitchFamily="49" charset="0"/>
              <a:cs typeface="Courier New" panose="02070309020205020404" pitchFamily="49" charset="0"/>
            </a:rPr>
            <a:t> have a 5x5 table:</a:t>
          </a:r>
        </a:p>
        <a:p>
          <a:endParaRPr lang="en-US" sz="800" baseline="0">
            <a:latin typeface="Courier New" panose="02070309020205020404" pitchFamily="49" charset="0"/>
            <a:cs typeface="Courier New" panose="02070309020205020404" pitchFamily="49" charset="0"/>
          </a:endParaRPr>
        </a:p>
        <a:p>
          <a:endParaRPr lang="en-US" sz="800">
            <a:latin typeface="Courier New" panose="02070309020205020404" pitchFamily="49" charset="0"/>
            <a:cs typeface="Courier New" panose="02070309020205020404" pitchFamily="49" charset="0"/>
          </a:endParaRP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      name:  &lt;unnamed&gt;</a:t>
          </a:r>
        </a:p>
        <a:p>
          <a:r>
            <a:rPr lang="en-US" sz="800">
              <a:solidFill>
                <a:schemeClr val="dk1"/>
              </a:solidFill>
              <a:effectLst/>
              <a:latin typeface="Courier New" panose="02070309020205020404" pitchFamily="49" charset="0"/>
              <a:ea typeface="+mn-ea"/>
              <a:cs typeface="Courier New" panose="02070309020205020404" pitchFamily="49" charset="0"/>
            </a:rPr>
            <a:t>       log:  C:\Users\mexmi\Documents\newer web pages\soc_382_stuff\logs\loglin w 5by5 intermar.log</a:t>
          </a:r>
        </a:p>
        <a:p>
          <a:r>
            <a:rPr lang="en-US" sz="800">
              <a:solidFill>
                <a:schemeClr val="dk1"/>
              </a:solidFill>
              <a:effectLst/>
              <a:latin typeface="Courier New" panose="02070309020205020404" pitchFamily="49" charset="0"/>
              <a:ea typeface="+mn-ea"/>
              <a:cs typeface="Courier New" panose="02070309020205020404" pitchFamily="49" charset="0"/>
            </a:rPr>
            <a:t>  log type:  text</a:t>
          </a:r>
        </a:p>
        <a:p>
          <a:r>
            <a:rPr lang="en-US" sz="800">
              <a:solidFill>
                <a:schemeClr val="dk1"/>
              </a:solidFill>
              <a:effectLst/>
              <a:latin typeface="Courier New" panose="02070309020205020404" pitchFamily="49" charset="0"/>
              <a:ea typeface="+mn-ea"/>
              <a:cs typeface="Courier New" panose="02070309020205020404" pitchFamily="49" charset="0"/>
            </a:rPr>
            <a:t> opened on:  29 Jan 2019, 10:18:10</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table meth_num feth_num, contents (sum count) row col cellwidth(10)</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husband's           |                         wife's race/ethnicity                         </a:t>
          </a:r>
        </a:p>
        <a:p>
          <a:r>
            <a:rPr lang="en-US" sz="800">
              <a:solidFill>
                <a:schemeClr val="dk1"/>
              </a:solidFill>
              <a:effectLst/>
              <a:latin typeface="Courier New" panose="02070309020205020404" pitchFamily="49" charset="0"/>
              <a:ea typeface="+mn-ea"/>
              <a:cs typeface="Courier New" panose="02070309020205020404" pitchFamily="49" charset="0"/>
            </a:rPr>
            <a:t>race/ethnicity      | Black, non  Mexican Am  Hispanic O  Non Hispan  White non        Total</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Black, non Hispanic |      42521         291         412         393        2064       45681</a:t>
          </a:r>
        </a:p>
        <a:p>
          <a:r>
            <a:rPr lang="en-US" sz="800">
              <a:solidFill>
                <a:schemeClr val="dk1"/>
              </a:solidFill>
              <a:effectLst/>
              <a:latin typeface="Courier New" panose="02070309020205020404" pitchFamily="49" charset="0"/>
              <a:ea typeface="+mn-ea"/>
              <a:cs typeface="Courier New" panose="02070309020205020404" pitchFamily="49" charset="0"/>
            </a:rPr>
            <a:t>   Mexican American |         94       18088         612         433        6067       25294</a:t>
          </a:r>
        </a:p>
        <a:p>
          <a:r>
            <a:rPr lang="en-US" sz="800">
              <a:solidFill>
                <a:schemeClr val="dk1"/>
              </a:solidFill>
              <a:effectLst/>
              <a:latin typeface="Courier New" panose="02070309020205020404" pitchFamily="49" charset="0"/>
              <a:ea typeface="+mn-ea"/>
              <a:cs typeface="Courier New" panose="02070309020205020404" pitchFamily="49" charset="0"/>
            </a:rPr>
            <a:t>     Hispanic Other |        310         633        5901         258        4507       11609</a:t>
          </a:r>
        </a:p>
        <a:p>
          <a:r>
            <a:rPr lang="en-US" sz="800">
              <a:solidFill>
                <a:schemeClr val="dk1"/>
              </a:solidFill>
              <a:effectLst/>
              <a:latin typeface="Courier New" panose="02070309020205020404" pitchFamily="49" charset="0"/>
              <a:ea typeface="+mn-ea"/>
              <a:cs typeface="Courier New" panose="02070309020205020404" pitchFamily="49" charset="0"/>
            </a:rPr>
            <a:t> Non Hispanic Other |        101         317         214        3509        3959        8100</a:t>
          </a:r>
        </a:p>
        <a:p>
          <a:r>
            <a:rPr lang="en-US" sz="800">
              <a:solidFill>
                <a:schemeClr val="dk1"/>
              </a:solidFill>
              <a:effectLst/>
              <a:latin typeface="Courier New" panose="02070309020205020404" pitchFamily="49" charset="0"/>
              <a:ea typeface="+mn-ea"/>
              <a:cs typeface="Courier New" panose="02070309020205020404" pitchFamily="49" charset="0"/>
            </a:rPr>
            <a:t> White non Hispanic |        615        5338        4403        5505      543276      559137</a:t>
          </a:r>
        </a:p>
        <a:p>
          <a:r>
            <a:rPr lang="en-US" sz="800">
              <a:solidFill>
                <a:schemeClr val="dk1"/>
              </a:solidFill>
              <a:effectLst/>
              <a:latin typeface="Courier New" panose="02070309020205020404" pitchFamily="49" charset="0"/>
              <a:ea typeface="+mn-ea"/>
              <a:cs typeface="Courier New" panose="02070309020205020404" pitchFamily="49" charset="0"/>
            </a:rPr>
            <a:t>                    | </a:t>
          </a:r>
        </a:p>
        <a:p>
          <a:r>
            <a:rPr lang="en-US" sz="800">
              <a:solidFill>
                <a:schemeClr val="dk1"/>
              </a:solidFill>
              <a:effectLst/>
              <a:latin typeface="Courier New" panose="02070309020205020404" pitchFamily="49" charset="0"/>
              <a:ea typeface="+mn-ea"/>
              <a:cs typeface="Courier New" panose="02070309020205020404" pitchFamily="49" charset="0"/>
            </a:rPr>
            <a:t>              Total |      43641       24667       11542       10098      559873      649821</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The data represent national US marriage cross-classification data, over 3 censuses: 1970, 1980 and 1990. So the sample size is huge and the power to distinguish between competing hypotheses is very high.</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1) The very unappealing constant only model.</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poisson count</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Iteration 0:   log likelihood = -1576481.7  </a:t>
          </a:r>
        </a:p>
        <a:p>
          <a:r>
            <a:rPr lang="en-US" sz="800">
              <a:solidFill>
                <a:schemeClr val="dk1"/>
              </a:solidFill>
              <a:effectLst/>
              <a:latin typeface="Courier New" panose="02070309020205020404" pitchFamily="49" charset="0"/>
              <a:ea typeface="+mn-ea"/>
              <a:cs typeface="Courier New" panose="02070309020205020404" pitchFamily="49" charset="0"/>
            </a:rPr>
            <a:t>Iteration 1:   log likelihood = -1576481.7  </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Poisson regression                                Number of obs   =         25</a:t>
          </a:r>
        </a:p>
        <a:p>
          <a:r>
            <a:rPr lang="en-US" sz="800">
              <a:solidFill>
                <a:schemeClr val="dk1"/>
              </a:solidFill>
              <a:effectLst/>
              <a:latin typeface="Courier New" panose="02070309020205020404" pitchFamily="49" charset="0"/>
              <a:ea typeface="+mn-ea"/>
              <a:cs typeface="Courier New" panose="02070309020205020404" pitchFamily="49" charset="0"/>
            </a:rPr>
            <a:t>                                                  LR chi2(0)      =      -0.00</a:t>
          </a:r>
        </a:p>
        <a:p>
          <a:r>
            <a:rPr lang="en-US" sz="800">
              <a:solidFill>
                <a:schemeClr val="dk1"/>
              </a:solidFill>
              <a:effectLst/>
              <a:latin typeface="Courier New" panose="02070309020205020404" pitchFamily="49" charset="0"/>
              <a:ea typeface="+mn-ea"/>
              <a:cs typeface="Courier New" panose="02070309020205020404" pitchFamily="49" charset="0"/>
            </a:rPr>
            <a:t>                                                  Prob &gt; chi2     =          .</a:t>
          </a:r>
        </a:p>
        <a:p>
          <a:r>
            <a:rPr lang="en-US" sz="800">
              <a:solidFill>
                <a:schemeClr val="dk1"/>
              </a:solidFill>
              <a:effectLst/>
              <a:latin typeface="Courier New" panose="02070309020205020404" pitchFamily="49" charset="0"/>
              <a:ea typeface="+mn-ea"/>
              <a:cs typeface="Courier New" panose="02070309020205020404" pitchFamily="49" charset="0"/>
            </a:rPr>
            <a:t>Log likelihood = -1576481.7                       Pseudo R2       =    -0.0000</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       count |      Coef.   Std. Err.      z    P&gt;|z|     [95% Conf. Interval]</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       _cons |   10.16558   .0012405  8194.62   0.000     10.16315    10.16801</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display ln(649821/25)</a:t>
          </a:r>
        </a:p>
        <a:p>
          <a:r>
            <a:rPr lang="en-US" sz="800">
              <a:solidFill>
                <a:schemeClr val="dk1"/>
              </a:solidFill>
              <a:effectLst/>
              <a:latin typeface="Courier New" panose="02070309020205020404" pitchFamily="49" charset="0"/>
              <a:ea typeface="+mn-ea"/>
              <a:cs typeface="Courier New" panose="02070309020205020404" pitchFamily="49" charset="0"/>
            </a:rPr>
            <a:t>10.165576</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predict constant_only_class</a:t>
          </a:r>
        </a:p>
        <a:p>
          <a:r>
            <a:rPr lang="en-US" sz="800">
              <a:solidFill>
                <a:schemeClr val="dk1"/>
              </a:solidFill>
              <a:effectLst/>
              <a:latin typeface="Courier New" panose="02070309020205020404" pitchFamily="49" charset="0"/>
              <a:ea typeface="+mn-ea"/>
              <a:cs typeface="Courier New" panose="02070309020205020404" pitchFamily="49" charset="0"/>
            </a:rPr>
            <a:t>(option n assumed; predicted number of events)</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table meth_num feth_num, contents (sum count sum constant_only_class ) row col cellwidth(10)</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husband's           |                         wife's race/ethnicity                         </a:t>
          </a:r>
        </a:p>
        <a:p>
          <a:r>
            <a:rPr lang="en-US" sz="800">
              <a:solidFill>
                <a:schemeClr val="dk1"/>
              </a:solidFill>
              <a:effectLst/>
              <a:latin typeface="Courier New" panose="02070309020205020404" pitchFamily="49" charset="0"/>
              <a:ea typeface="+mn-ea"/>
              <a:cs typeface="Courier New" panose="02070309020205020404" pitchFamily="49" charset="0"/>
            </a:rPr>
            <a:t>race/ethnicity      | Black, non  Mexican Am  Hispanic O  Non Hispan  White non        Total</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Black, non Hispanic |      42521         291         412         393        2064       45681</a:t>
          </a:r>
        </a:p>
        <a:p>
          <a:r>
            <a:rPr lang="en-US" sz="800">
              <a:solidFill>
                <a:schemeClr val="dk1"/>
              </a:solidFill>
              <a:effectLst/>
              <a:latin typeface="Courier New" panose="02070309020205020404" pitchFamily="49" charset="0"/>
              <a:ea typeface="+mn-ea"/>
              <a:cs typeface="Courier New" panose="02070309020205020404" pitchFamily="49" charset="0"/>
            </a:rPr>
            <a:t>                    |   25992.84    25992.84    25992.84    25992.84    25992.84    129964.2</a:t>
          </a:r>
        </a:p>
        <a:p>
          <a:r>
            <a:rPr lang="en-US" sz="800">
              <a:solidFill>
                <a:schemeClr val="dk1"/>
              </a:solidFill>
              <a:effectLst/>
              <a:latin typeface="Courier New" panose="02070309020205020404" pitchFamily="49" charset="0"/>
              <a:ea typeface="+mn-ea"/>
              <a:cs typeface="Courier New" panose="02070309020205020404" pitchFamily="49" charset="0"/>
            </a:rPr>
            <a:t>                    | </a:t>
          </a:r>
        </a:p>
        <a:p>
          <a:r>
            <a:rPr lang="en-US" sz="800">
              <a:solidFill>
                <a:schemeClr val="dk1"/>
              </a:solidFill>
              <a:effectLst/>
              <a:latin typeface="Courier New" panose="02070309020205020404" pitchFamily="49" charset="0"/>
              <a:ea typeface="+mn-ea"/>
              <a:cs typeface="Courier New" panose="02070309020205020404" pitchFamily="49" charset="0"/>
            </a:rPr>
            <a:t>   Mexican American |         94       18088         612         433        6067       25294</a:t>
          </a:r>
        </a:p>
        <a:p>
          <a:r>
            <a:rPr lang="en-US" sz="800">
              <a:solidFill>
                <a:schemeClr val="dk1"/>
              </a:solidFill>
              <a:effectLst/>
              <a:latin typeface="Courier New" panose="02070309020205020404" pitchFamily="49" charset="0"/>
              <a:ea typeface="+mn-ea"/>
              <a:cs typeface="Courier New" panose="02070309020205020404" pitchFamily="49" charset="0"/>
            </a:rPr>
            <a:t>                    |   25992.84    25992.84    25992.84    25992.84    25992.84    129964.2</a:t>
          </a:r>
        </a:p>
        <a:p>
          <a:r>
            <a:rPr lang="en-US" sz="800">
              <a:solidFill>
                <a:schemeClr val="dk1"/>
              </a:solidFill>
              <a:effectLst/>
              <a:latin typeface="Courier New" panose="02070309020205020404" pitchFamily="49" charset="0"/>
              <a:ea typeface="+mn-ea"/>
              <a:cs typeface="Courier New" panose="02070309020205020404" pitchFamily="49" charset="0"/>
            </a:rPr>
            <a:t>                    | </a:t>
          </a:r>
        </a:p>
        <a:p>
          <a:r>
            <a:rPr lang="en-US" sz="800">
              <a:solidFill>
                <a:schemeClr val="dk1"/>
              </a:solidFill>
              <a:effectLst/>
              <a:latin typeface="Courier New" panose="02070309020205020404" pitchFamily="49" charset="0"/>
              <a:ea typeface="+mn-ea"/>
              <a:cs typeface="Courier New" panose="02070309020205020404" pitchFamily="49" charset="0"/>
            </a:rPr>
            <a:t>     Hispanic Other |        310         633        5901         258        4507       11609</a:t>
          </a:r>
        </a:p>
        <a:p>
          <a:r>
            <a:rPr lang="en-US" sz="800">
              <a:solidFill>
                <a:schemeClr val="dk1"/>
              </a:solidFill>
              <a:effectLst/>
              <a:latin typeface="Courier New" panose="02070309020205020404" pitchFamily="49" charset="0"/>
              <a:ea typeface="+mn-ea"/>
              <a:cs typeface="Courier New" panose="02070309020205020404" pitchFamily="49" charset="0"/>
            </a:rPr>
            <a:t>                    |   25992.84    25992.84    25992.84    25992.84    25992.84    129964.2</a:t>
          </a:r>
        </a:p>
        <a:p>
          <a:r>
            <a:rPr lang="en-US" sz="800">
              <a:solidFill>
                <a:schemeClr val="dk1"/>
              </a:solidFill>
              <a:effectLst/>
              <a:latin typeface="Courier New" panose="02070309020205020404" pitchFamily="49" charset="0"/>
              <a:ea typeface="+mn-ea"/>
              <a:cs typeface="Courier New" panose="02070309020205020404" pitchFamily="49" charset="0"/>
            </a:rPr>
            <a:t>                    | </a:t>
          </a:r>
        </a:p>
        <a:p>
          <a:r>
            <a:rPr lang="en-US" sz="800">
              <a:solidFill>
                <a:schemeClr val="dk1"/>
              </a:solidFill>
              <a:effectLst/>
              <a:latin typeface="Courier New" panose="02070309020205020404" pitchFamily="49" charset="0"/>
              <a:ea typeface="+mn-ea"/>
              <a:cs typeface="Courier New" panose="02070309020205020404" pitchFamily="49" charset="0"/>
            </a:rPr>
            <a:t> Non Hispanic Other |        101         317         214        3509        3959        8100</a:t>
          </a:r>
        </a:p>
        <a:p>
          <a:r>
            <a:rPr lang="en-US" sz="800">
              <a:solidFill>
                <a:schemeClr val="dk1"/>
              </a:solidFill>
              <a:effectLst/>
              <a:latin typeface="Courier New" panose="02070309020205020404" pitchFamily="49" charset="0"/>
              <a:ea typeface="+mn-ea"/>
              <a:cs typeface="Courier New" panose="02070309020205020404" pitchFamily="49" charset="0"/>
            </a:rPr>
            <a:t>                    |   25992.84    25992.84    25992.84    25992.84    25992.84    129964.2</a:t>
          </a:r>
        </a:p>
        <a:p>
          <a:r>
            <a:rPr lang="en-US" sz="800">
              <a:solidFill>
                <a:schemeClr val="dk1"/>
              </a:solidFill>
              <a:effectLst/>
              <a:latin typeface="Courier New" panose="02070309020205020404" pitchFamily="49" charset="0"/>
              <a:ea typeface="+mn-ea"/>
              <a:cs typeface="Courier New" panose="02070309020205020404" pitchFamily="49" charset="0"/>
            </a:rPr>
            <a:t>                    | </a:t>
          </a:r>
        </a:p>
        <a:p>
          <a:r>
            <a:rPr lang="en-US" sz="800">
              <a:solidFill>
                <a:schemeClr val="dk1"/>
              </a:solidFill>
              <a:effectLst/>
              <a:latin typeface="Courier New" panose="02070309020205020404" pitchFamily="49" charset="0"/>
              <a:ea typeface="+mn-ea"/>
              <a:cs typeface="Courier New" panose="02070309020205020404" pitchFamily="49" charset="0"/>
            </a:rPr>
            <a:t> White non Hispanic |        615        5338        4403        5505      543276      559137</a:t>
          </a:r>
        </a:p>
        <a:p>
          <a:r>
            <a:rPr lang="en-US" sz="800">
              <a:solidFill>
                <a:schemeClr val="dk1"/>
              </a:solidFill>
              <a:effectLst/>
              <a:latin typeface="Courier New" panose="02070309020205020404" pitchFamily="49" charset="0"/>
              <a:ea typeface="+mn-ea"/>
              <a:cs typeface="Courier New" panose="02070309020205020404" pitchFamily="49" charset="0"/>
            </a:rPr>
            <a:t>                    |   25992.84    25992.84    25992.84    25992.84    25992.84    129964.2</a:t>
          </a:r>
        </a:p>
        <a:p>
          <a:r>
            <a:rPr lang="en-US" sz="800">
              <a:solidFill>
                <a:schemeClr val="dk1"/>
              </a:solidFill>
              <a:effectLst/>
              <a:latin typeface="Courier New" panose="02070309020205020404" pitchFamily="49" charset="0"/>
              <a:ea typeface="+mn-ea"/>
              <a:cs typeface="Courier New" panose="02070309020205020404" pitchFamily="49" charset="0"/>
            </a:rPr>
            <a:t>                    | </a:t>
          </a:r>
        </a:p>
        <a:p>
          <a:r>
            <a:rPr lang="en-US" sz="800">
              <a:solidFill>
                <a:schemeClr val="dk1"/>
              </a:solidFill>
              <a:effectLst/>
              <a:latin typeface="Courier New" panose="02070309020205020404" pitchFamily="49" charset="0"/>
              <a:ea typeface="+mn-ea"/>
              <a:cs typeface="Courier New" panose="02070309020205020404" pitchFamily="49" charset="0"/>
            </a:rPr>
            <a:t>              Total |      43641       24667       11542       10098      559873      649821</a:t>
          </a:r>
        </a:p>
        <a:p>
          <a:r>
            <a:rPr lang="en-US" sz="800">
              <a:solidFill>
                <a:schemeClr val="dk1"/>
              </a:solidFill>
              <a:effectLst/>
              <a:latin typeface="Courier New" panose="02070309020205020404" pitchFamily="49" charset="0"/>
              <a:ea typeface="+mn-ea"/>
              <a:cs typeface="Courier New" panose="02070309020205020404" pitchFamily="49" charset="0"/>
            </a:rPr>
            <a:t>                    |   129964.2    129964.2    129964.2    129964.2    129964.2      649821</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*Constant only model fits the data in only one place: the total count of 649K.</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poisgof</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Deviance goodness-of-fit =   3152733</a:t>
          </a:r>
        </a:p>
        <a:p>
          <a:r>
            <a:rPr lang="en-US" sz="800">
              <a:solidFill>
                <a:schemeClr val="dk1"/>
              </a:solidFill>
              <a:effectLst/>
              <a:latin typeface="Courier New" panose="02070309020205020404" pitchFamily="49" charset="0"/>
              <a:ea typeface="+mn-ea"/>
              <a:cs typeface="Courier New" panose="02070309020205020404" pitchFamily="49" charset="0"/>
            </a:rPr>
            <a:t>         Prob &gt; chi2(24)          =    0.0000</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Pearson goodness-of-fit  =  1.08e+07</a:t>
          </a:r>
        </a:p>
        <a:p>
          <a:r>
            <a:rPr lang="en-US" sz="800">
              <a:solidFill>
                <a:schemeClr val="dk1"/>
              </a:solidFill>
              <a:effectLst/>
              <a:latin typeface="Courier New" panose="02070309020205020404" pitchFamily="49" charset="0"/>
              <a:ea typeface="+mn-ea"/>
              <a:cs typeface="Courier New" panose="02070309020205020404" pitchFamily="49" charset="0"/>
            </a:rPr>
            <a:t>         Prob &gt; chi2(24)          =    0.0000</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The constant only model fits terribly, as indicated by the fits next to the actual data above, and by the goodness of fit chisquare statistic. The null hypothesis here is that the constant model and the saturated model (i.e. the actual data) fit equally well. This null hypothesis is resoundingly rejected. Note also that the likelihood ratio chisquare test and the Pearson chisquare test yield the same substantive answer (rejection of the null hypothesis), but the actual statistics are 3X different. I would guess that the poor fit of the model makes one or both of the statistics perform poorly.</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gen ID_const_class=(50/649821)*(abs(count- constant_only_class ))</a:t>
          </a:r>
        </a:p>
        <a:p>
          <a:r>
            <a:rPr lang="en-US" sz="800">
              <a:solidFill>
                <a:schemeClr val="dk1"/>
              </a:solidFill>
              <a:effectLst/>
              <a:latin typeface="Courier New" panose="02070309020205020404" pitchFamily="49" charset="0"/>
              <a:ea typeface="+mn-ea"/>
              <a:cs typeface="Courier New" panose="02070309020205020404" pitchFamily="49" charset="0"/>
            </a:rPr>
            <a:t>*The formula for generating cell-by-cell ID score: (50/N)*(abs(actual-predicted))</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table meth_num feth_num, contents (sum ID_const_class ) row col cellwidth(10)</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husband's           |                         wife's race/ethnicity                         </a:t>
          </a:r>
        </a:p>
        <a:p>
          <a:r>
            <a:rPr lang="en-US" sz="800">
              <a:solidFill>
                <a:schemeClr val="dk1"/>
              </a:solidFill>
              <a:effectLst/>
              <a:latin typeface="Courier New" panose="02070309020205020404" pitchFamily="49" charset="0"/>
              <a:ea typeface="+mn-ea"/>
              <a:cs typeface="Courier New" panose="02070309020205020404" pitchFamily="49" charset="0"/>
            </a:rPr>
            <a:t>race/ethnicity      | Black, non  Mexican Am  Hispanic O  Non Hispan  White non        Total</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Black, non Hispanic |   1.271747    1.977609    1.968299    1.969761    1.841187    9.028603</a:t>
          </a:r>
        </a:p>
        <a:p>
          <a:r>
            <a:rPr lang="en-US" sz="800">
              <a:solidFill>
                <a:schemeClr val="dk1"/>
              </a:solidFill>
              <a:effectLst/>
              <a:latin typeface="Courier New" panose="02070309020205020404" pitchFamily="49" charset="0"/>
              <a:ea typeface="+mn-ea"/>
              <a:cs typeface="Courier New" panose="02070309020205020404" pitchFamily="49" charset="0"/>
            </a:rPr>
            <a:t>   Mexican American |   1.992767    .6082321     1.95291    1.966683    1.533179    8.053772</a:t>
          </a:r>
        </a:p>
        <a:p>
          <a:r>
            <a:rPr lang="en-US" sz="800">
              <a:solidFill>
                <a:schemeClr val="dk1"/>
              </a:solidFill>
              <a:effectLst/>
              <a:latin typeface="Courier New" panose="02070309020205020404" pitchFamily="49" charset="0"/>
              <a:ea typeface="+mn-ea"/>
              <a:cs typeface="Courier New" panose="02070309020205020404" pitchFamily="49" charset="0"/>
            </a:rPr>
            <a:t>     Hispanic Other |   1.976147    1.951294    1.545952    1.980148    1.653212    9.106754</a:t>
          </a:r>
        </a:p>
        <a:p>
          <a:r>
            <a:rPr lang="en-US" sz="800">
              <a:solidFill>
                <a:schemeClr val="dk1"/>
              </a:solidFill>
              <a:effectLst/>
              <a:latin typeface="Courier New" panose="02070309020205020404" pitchFamily="49" charset="0"/>
              <a:ea typeface="+mn-ea"/>
              <a:cs typeface="Courier New" panose="02070309020205020404" pitchFamily="49" charset="0"/>
            </a:rPr>
            <a:t> Non Hispanic Other |   1.992229    1.975609    1.983534    1.730003    1.695378    9.376751</a:t>
          </a:r>
        </a:p>
        <a:p>
          <a:r>
            <a:rPr lang="en-US" sz="800">
              <a:solidFill>
                <a:schemeClr val="dk1"/>
              </a:solidFill>
              <a:effectLst/>
              <a:latin typeface="Courier New" panose="02070309020205020404" pitchFamily="49" charset="0"/>
              <a:ea typeface="+mn-ea"/>
              <a:cs typeface="Courier New" panose="02070309020205020404" pitchFamily="49" charset="0"/>
            </a:rPr>
            <a:t> White non Hispanic |   1.952679    1.589272    1.661214    1.576422    39.80197    46.58156</a:t>
          </a:r>
        </a:p>
        <a:p>
          <a:r>
            <a:rPr lang="en-US" sz="800">
              <a:solidFill>
                <a:schemeClr val="dk1"/>
              </a:solidFill>
              <a:effectLst/>
              <a:latin typeface="Courier New" panose="02070309020205020404" pitchFamily="49" charset="0"/>
              <a:ea typeface="+mn-ea"/>
              <a:cs typeface="Courier New" panose="02070309020205020404" pitchFamily="49" charset="0"/>
            </a:rPr>
            <a:t>                    | </a:t>
          </a:r>
        </a:p>
        <a:p>
          <a:r>
            <a:rPr lang="en-US" sz="800">
              <a:solidFill>
                <a:schemeClr val="dk1"/>
              </a:solidFill>
              <a:effectLst/>
              <a:latin typeface="Courier New" panose="02070309020205020404" pitchFamily="49" charset="0"/>
              <a:ea typeface="+mn-ea"/>
              <a:cs typeface="Courier New" panose="02070309020205020404" pitchFamily="49" charset="0"/>
            </a:rPr>
            <a:t>              Total |    9.18557    8.102016    9.111909    9.223017    46.52493    82.14744</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*Tabling the score yields the ID statistic sum of 82, meaning 82% of the cases are misclassified, i.e. in the wrong cell.</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drop ID_indep ID_constant ID_dichot_endog ID_quasi_indep</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2) The independence model:</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poisson count i.meth_num i.feth_num</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Iteration 0:   log likelihood = -300152.18  </a:t>
          </a:r>
        </a:p>
        <a:p>
          <a:r>
            <a:rPr lang="en-US" sz="800">
              <a:solidFill>
                <a:schemeClr val="dk1"/>
              </a:solidFill>
              <a:effectLst/>
              <a:latin typeface="Courier New" panose="02070309020205020404" pitchFamily="49" charset="0"/>
              <a:ea typeface="+mn-ea"/>
              <a:cs typeface="Courier New" panose="02070309020205020404" pitchFamily="49" charset="0"/>
            </a:rPr>
            <a:t>Iteration 1:   log likelihood = -228156.87  </a:t>
          </a:r>
        </a:p>
        <a:p>
          <a:r>
            <a:rPr lang="en-US" sz="800">
              <a:solidFill>
                <a:schemeClr val="dk1"/>
              </a:solidFill>
              <a:effectLst/>
              <a:latin typeface="Courier New" panose="02070309020205020404" pitchFamily="49" charset="0"/>
              <a:ea typeface="+mn-ea"/>
              <a:cs typeface="Courier New" panose="02070309020205020404" pitchFamily="49" charset="0"/>
            </a:rPr>
            <a:t>Iteration 2:   log likelihood = -225010.67  </a:t>
          </a:r>
        </a:p>
        <a:p>
          <a:r>
            <a:rPr lang="en-US" sz="800">
              <a:solidFill>
                <a:schemeClr val="dk1"/>
              </a:solidFill>
              <a:effectLst/>
              <a:latin typeface="Courier New" panose="02070309020205020404" pitchFamily="49" charset="0"/>
              <a:ea typeface="+mn-ea"/>
              <a:cs typeface="Courier New" panose="02070309020205020404" pitchFamily="49" charset="0"/>
            </a:rPr>
            <a:t>Iteration 3:   log likelihood = -225002.47  </a:t>
          </a:r>
        </a:p>
        <a:p>
          <a:r>
            <a:rPr lang="en-US" sz="800">
              <a:solidFill>
                <a:schemeClr val="dk1"/>
              </a:solidFill>
              <a:effectLst/>
              <a:latin typeface="Courier New" panose="02070309020205020404" pitchFamily="49" charset="0"/>
              <a:ea typeface="+mn-ea"/>
              <a:cs typeface="Courier New" panose="02070309020205020404" pitchFamily="49" charset="0"/>
            </a:rPr>
            <a:t>Iteration 4:   log likelihood = -225002.47  </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Poisson regression                                Number of obs   =         25</a:t>
          </a:r>
        </a:p>
        <a:p>
          <a:r>
            <a:rPr lang="en-US" sz="800">
              <a:solidFill>
                <a:schemeClr val="dk1"/>
              </a:solidFill>
              <a:effectLst/>
              <a:latin typeface="Courier New" panose="02070309020205020404" pitchFamily="49" charset="0"/>
              <a:ea typeface="+mn-ea"/>
              <a:cs typeface="Courier New" panose="02070309020205020404" pitchFamily="49" charset="0"/>
            </a:rPr>
            <a:t>                                                  LR chi2(8)      = 2702958.36</a:t>
          </a:r>
        </a:p>
        <a:p>
          <a:r>
            <a:rPr lang="en-US" sz="800">
              <a:solidFill>
                <a:schemeClr val="dk1"/>
              </a:solidFill>
              <a:effectLst/>
              <a:latin typeface="Courier New" panose="02070309020205020404" pitchFamily="49" charset="0"/>
              <a:ea typeface="+mn-ea"/>
              <a:cs typeface="Courier New" panose="02070309020205020404" pitchFamily="49" charset="0"/>
            </a:rPr>
            <a:t>                                                  Prob &gt; chi2     =     0.0000</a:t>
          </a:r>
        </a:p>
        <a:p>
          <a:r>
            <a:rPr lang="en-US" sz="800">
              <a:solidFill>
                <a:schemeClr val="dk1"/>
              </a:solidFill>
              <a:effectLst/>
              <a:latin typeface="Courier New" panose="02070309020205020404" pitchFamily="49" charset="0"/>
              <a:ea typeface="+mn-ea"/>
              <a:cs typeface="Courier New" panose="02070309020205020404" pitchFamily="49" charset="0"/>
            </a:rPr>
            <a:t>Log likelihood = -225002.47                       Pseudo R2       =     0.8573</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              count |      Coef.   Std. Err.      z    P&gt;|z|     [95% Conf. Interval]</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           meth_num |</a:t>
          </a:r>
        </a:p>
        <a:p>
          <a:r>
            <a:rPr lang="en-US" sz="800">
              <a:solidFill>
                <a:schemeClr val="dk1"/>
              </a:solidFill>
              <a:effectLst/>
              <a:latin typeface="Courier New" panose="02070309020205020404" pitchFamily="49" charset="0"/>
              <a:ea typeface="+mn-ea"/>
              <a:cs typeface="Courier New" panose="02070309020205020404" pitchFamily="49" charset="0"/>
            </a:rPr>
            <a:t>  Mexican American  |  -.5911152   .0078375   -75.42   0.000    -.6064764   -.5757541</a:t>
          </a:r>
        </a:p>
        <a:p>
          <a:r>
            <a:rPr lang="en-US" sz="800">
              <a:solidFill>
                <a:schemeClr val="dk1"/>
              </a:solidFill>
              <a:effectLst/>
              <a:latin typeface="Courier New" panose="02070309020205020404" pitchFamily="49" charset="0"/>
              <a:ea typeface="+mn-ea"/>
              <a:cs typeface="Courier New" panose="02070309020205020404" pitchFamily="49" charset="0"/>
            </a:rPr>
            <a:t>    Hispanic Other  |  -1.369902   .0103938  -131.80   0.000    -1.390273    -1.34953</a:t>
          </a:r>
        </a:p>
        <a:p>
          <a:r>
            <a:rPr lang="en-US" sz="800">
              <a:solidFill>
                <a:schemeClr val="dk1"/>
              </a:solidFill>
              <a:effectLst/>
              <a:latin typeface="Courier New" panose="02070309020205020404" pitchFamily="49" charset="0"/>
              <a:ea typeface="+mn-ea"/>
              <a:cs typeface="Courier New" panose="02070309020205020404" pitchFamily="49" charset="0"/>
            </a:rPr>
            <a:t>Non Hispanic Other  |  -1.729818    .012056  -143.48   0.000    -1.753448   -1.706189</a:t>
          </a:r>
        </a:p>
        <a:p>
          <a:r>
            <a:rPr lang="en-US" sz="800">
              <a:solidFill>
                <a:schemeClr val="dk1"/>
              </a:solidFill>
              <a:effectLst/>
              <a:latin typeface="Courier New" panose="02070309020205020404" pitchFamily="49" charset="0"/>
              <a:ea typeface="+mn-ea"/>
              <a:cs typeface="Courier New" panose="02070309020205020404" pitchFamily="49" charset="0"/>
            </a:rPr>
            <a:t>White non Hispanic  |   2.504712   .0048661   514.72   0.000     2.495175     2.51425</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feth_num |</a:t>
          </a:r>
        </a:p>
        <a:p>
          <a:r>
            <a:rPr lang="en-US" sz="800">
              <a:solidFill>
                <a:schemeClr val="dk1"/>
              </a:solidFill>
              <a:effectLst/>
              <a:latin typeface="Courier New" panose="02070309020205020404" pitchFamily="49" charset="0"/>
              <a:ea typeface="+mn-ea"/>
              <a:cs typeface="Courier New" panose="02070309020205020404" pitchFamily="49" charset="0"/>
            </a:rPr>
            <a:t>  Mexican American  |  -.5705308   .0079658   -71.62   0.000    -.5861435    -.554918</a:t>
          </a:r>
        </a:p>
        <a:p>
          <a:r>
            <a:rPr lang="en-US" sz="800">
              <a:solidFill>
                <a:schemeClr val="dk1"/>
              </a:solidFill>
              <a:effectLst/>
              <a:latin typeface="Courier New" panose="02070309020205020404" pitchFamily="49" charset="0"/>
              <a:ea typeface="+mn-ea"/>
              <a:cs typeface="Courier New" panose="02070309020205020404" pitchFamily="49" charset="0"/>
            </a:rPr>
            <a:t>    Hispanic Other  |  -1.330005   .0104668  -127.07   0.000    -1.350519    -1.30949</a:t>
          </a:r>
        </a:p>
        <a:p>
          <a:r>
            <a:rPr lang="en-US" sz="800">
              <a:solidFill>
                <a:schemeClr val="dk1"/>
              </a:solidFill>
              <a:effectLst/>
              <a:latin typeface="Courier New" panose="02070309020205020404" pitchFamily="49" charset="0"/>
              <a:ea typeface="+mn-ea"/>
              <a:cs typeface="Courier New" panose="02070309020205020404" pitchFamily="49" charset="0"/>
            </a:rPr>
            <a:t>Non Hispanic Other  |   -1.46366   .0110428  -132.54   0.000    -1.485303   -1.442016</a:t>
          </a:r>
        </a:p>
        <a:p>
          <a:r>
            <a:rPr lang="en-US" sz="800">
              <a:solidFill>
                <a:schemeClr val="dk1"/>
              </a:solidFill>
              <a:effectLst/>
              <a:latin typeface="Courier New" panose="02070309020205020404" pitchFamily="49" charset="0"/>
              <a:ea typeface="+mn-ea"/>
              <a:cs typeface="Courier New" panose="02070309020205020404" pitchFamily="49" charset="0"/>
            </a:rPr>
            <a:t>White non Hispanic  |   2.551713   .0049699   513.43   0.000     2.541972    2.561454</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_cons |   8.028738   .0065777  1220.60   0.000     8.015846     8.04163</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poisgof</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Deviance goodness-of-fit =  449774.9</a:t>
          </a:r>
        </a:p>
        <a:p>
          <a:r>
            <a:rPr lang="en-US" sz="800">
              <a:solidFill>
                <a:schemeClr val="dk1"/>
              </a:solidFill>
              <a:effectLst/>
              <a:latin typeface="Courier New" panose="02070309020205020404" pitchFamily="49" charset="0"/>
              <a:ea typeface="+mn-ea"/>
              <a:cs typeface="Courier New" panose="02070309020205020404" pitchFamily="49" charset="0"/>
            </a:rPr>
            <a:t>         Prob &gt; chi2(16)          =    0.0000</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Pearson goodness-of-fit  =   1176372</a:t>
          </a:r>
        </a:p>
        <a:p>
          <a:r>
            <a:rPr lang="en-US" sz="800">
              <a:solidFill>
                <a:schemeClr val="dk1"/>
              </a:solidFill>
              <a:effectLst/>
              <a:latin typeface="Courier New" panose="02070309020205020404" pitchFamily="49" charset="0"/>
              <a:ea typeface="+mn-ea"/>
              <a:cs typeface="Courier New" panose="02070309020205020404" pitchFamily="49" charset="0"/>
            </a:rPr>
            <a:t>         Prob &gt; chi2(16)          =    0.0000</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predict indep_model_class</a:t>
          </a:r>
        </a:p>
        <a:p>
          <a:r>
            <a:rPr lang="en-US" sz="800">
              <a:solidFill>
                <a:schemeClr val="dk1"/>
              </a:solidFill>
              <a:effectLst/>
              <a:latin typeface="Courier New" panose="02070309020205020404" pitchFamily="49" charset="0"/>
              <a:ea typeface="+mn-ea"/>
              <a:cs typeface="Courier New" panose="02070309020205020404" pitchFamily="49" charset="0"/>
            </a:rPr>
            <a:t>(option n assumed; predicted number of events)</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table meth_num feth_num, contents (sum count sum indep_model_class ) row col cellwidth(10)</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husband's           |                         wife's race/ethnicity                         </a:t>
          </a:r>
        </a:p>
        <a:p>
          <a:r>
            <a:rPr lang="en-US" sz="800">
              <a:solidFill>
                <a:schemeClr val="dk1"/>
              </a:solidFill>
              <a:effectLst/>
              <a:latin typeface="Courier New" panose="02070309020205020404" pitchFamily="49" charset="0"/>
              <a:ea typeface="+mn-ea"/>
              <a:cs typeface="Courier New" panose="02070309020205020404" pitchFamily="49" charset="0"/>
            </a:rPr>
            <a:t>race/ethnicity      | Black, non  Mexican Am  Hispanic O  Non Hispan  White non        Total</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Black, non Hispanic |      42521         291         412         393        2064       45681</a:t>
          </a:r>
        </a:p>
        <a:p>
          <a:r>
            <a:rPr lang="en-US" sz="800">
              <a:solidFill>
                <a:schemeClr val="dk1"/>
              </a:solidFill>
              <a:effectLst/>
              <a:latin typeface="Courier New" panose="02070309020205020404" pitchFamily="49" charset="0"/>
              <a:ea typeface="+mn-ea"/>
              <a:cs typeface="Courier New" panose="02070309020205020404" pitchFamily="49" charset="0"/>
            </a:rPr>
            <a:t>                    |   3067.867    1734.036    811.3774    709.8674    39357.85       45681</a:t>
          </a:r>
        </a:p>
        <a:p>
          <a:r>
            <a:rPr lang="en-US" sz="800">
              <a:solidFill>
                <a:schemeClr val="dk1"/>
              </a:solidFill>
              <a:effectLst/>
              <a:latin typeface="Courier New" panose="02070309020205020404" pitchFamily="49" charset="0"/>
              <a:ea typeface="+mn-ea"/>
              <a:cs typeface="Courier New" panose="02070309020205020404" pitchFamily="49" charset="0"/>
            </a:rPr>
            <a:t>                    | </a:t>
          </a:r>
        </a:p>
        <a:p>
          <a:r>
            <a:rPr lang="en-US" sz="800">
              <a:solidFill>
                <a:schemeClr val="dk1"/>
              </a:solidFill>
              <a:effectLst/>
              <a:latin typeface="Courier New" panose="02070309020205020404" pitchFamily="49" charset="0"/>
              <a:ea typeface="+mn-ea"/>
              <a:cs typeface="Courier New" panose="02070309020205020404" pitchFamily="49" charset="0"/>
            </a:rPr>
            <a:t>   Mexican American |         94       18088         612         433        6067       25294</a:t>
          </a:r>
        </a:p>
        <a:p>
          <a:r>
            <a:rPr lang="en-US" sz="800">
              <a:solidFill>
                <a:schemeClr val="dk1"/>
              </a:solidFill>
              <a:effectLst/>
              <a:latin typeface="Courier New" panose="02070309020205020404" pitchFamily="49" charset="0"/>
              <a:ea typeface="+mn-ea"/>
              <a:cs typeface="Courier New" panose="02070309020205020404" pitchFamily="49" charset="0"/>
            </a:rPr>
            <a:t>                    |   1698.707    960.1523    449.2673    393.0603    21792.81       25294</a:t>
          </a:r>
        </a:p>
        <a:p>
          <a:r>
            <a:rPr lang="en-US" sz="800">
              <a:solidFill>
                <a:schemeClr val="dk1"/>
              </a:solidFill>
              <a:effectLst/>
              <a:latin typeface="Courier New" panose="02070309020205020404" pitchFamily="49" charset="0"/>
              <a:ea typeface="+mn-ea"/>
              <a:cs typeface="Courier New" panose="02070309020205020404" pitchFamily="49" charset="0"/>
            </a:rPr>
            <a:t>                    | </a:t>
          </a:r>
        </a:p>
        <a:p>
          <a:r>
            <a:rPr lang="en-US" sz="800">
              <a:solidFill>
                <a:schemeClr val="dk1"/>
              </a:solidFill>
              <a:effectLst/>
              <a:latin typeface="Courier New" panose="02070309020205020404" pitchFamily="49" charset="0"/>
              <a:ea typeface="+mn-ea"/>
              <a:cs typeface="Courier New" panose="02070309020205020404" pitchFamily="49" charset="0"/>
            </a:rPr>
            <a:t>     Hispanic Other |        310         633        5901         258        4507       11609</a:t>
          </a:r>
        </a:p>
        <a:p>
          <a:r>
            <a:rPr lang="en-US" sz="800">
              <a:solidFill>
                <a:schemeClr val="dk1"/>
              </a:solidFill>
              <a:effectLst/>
              <a:latin typeface="Courier New" panose="02070309020205020404" pitchFamily="49" charset="0"/>
              <a:ea typeface="+mn-ea"/>
              <a:cs typeface="Courier New" panose="02070309020205020404" pitchFamily="49" charset="0"/>
            </a:rPr>
            <a:t>                    |   779.6429     440.674    206.1969       180.4    10002.09       11609</a:t>
          </a:r>
        </a:p>
        <a:p>
          <a:r>
            <a:rPr lang="en-US" sz="800">
              <a:solidFill>
                <a:schemeClr val="dk1"/>
              </a:solidFill>
              <a:effectLst/>
              <a:latin typeface="Courier New" panose="02070309020205020404" pitchFamily="49" charset="0"/>
              <a:ea typeface="+mn-ea"/>
              <a:cs typeface="Courier New" panose="02070309020205020404" pitchFamily="49" charset="0"/>
            </a:rPr>
            <a:t>                    | </a:t>
          </a:r>
        </a:p>
        <a:p>
          <a:r>
            <a:rPr lang="en-US" sz="800">
              <a:solidFill>
                <a:schemeClr val="dk1"/>
              </a:solidFill>
              <a:effectLst/>
              <a:latin typeface="Courier New" panose="02070309020205020404" pitchFamily="49" charset="0"/>
              <a:ea typeface="+mn-ea"/>
              <a:cs typeface="Courier New" panose="02070309020205020404" pitchFamily="49" charset="0"/>
            </a:rPr>
            <a:t> Non Hispanic Other |        101         317         214        3509        3959        8100</a:t>
          </a:r>
        </a:p>
        <a:p>
          <a:r>
            <a:rPr lang="en-US" sz="800">
              <a:solidFill>
                <a:schemeClr val="dk1"/>
              </a:solidFill>
              <a:effectLst/>
              <a:latin typeface="Courier New" panose="02070309020205020404" pitchFamily="49" charset="0"/>
              <a:ea typeface="+mn-ea"/>
              <a:cs typeface="Courier New" panose="02070309020205020404" pitchFamily="49" charset="0"/>
            </a:rPr>
            <a:t>                    |   543.9838    307.4734    143.8707    125.8713    6978.801        8100</a:t>
          </a:r>
        </a:p>
        <a:p>
          <a:r>
            <a:rPr lang="en-US" sz="800">
              <a:solidFill>
                <a:schemeClr val="dk1"/>
              </a:solidFill>
              <a:effectLst/>
              <a:latin typeface="Courier New" panose="02070309020205020404" pitchFamily="49" charset="0"/>
              <a:ea typeface="+mn-ea"/>
              <a:cs typeface="Courier New" panose="02070309020205020404" pitchFamily="49" charset="0"/>
            </a:rPr>
            <a:t>                    | </a:t>
          </a:r>
        </a:p>
        <a:p>
          <a:r>
            <a:rPr lang="en-US" sz="800">
              <a:solidFill>
                <a:schemeClr val="dk1"/>
              </a:solidFill>
              <a:effectLst/>
              <a:latin typeface="Courier New" panose="02070309020205020404" pitchFamily="49" charset="0"/>
              <a:ea typeface="+mn-ea"/>
              <a:cs typeface="Courier New" panose="02070309020205020404" pitchFamily="49" charset="0"/>
            </a:rPr>
            <a:t> White non Hispanic |        615        5338        4403        5505      543276      559137</a:t>
          </a:r>
        </a:p>
        <a:p>
          <a:r>
            <a:rPr lang="en-US" sz="800">
              <a:solidFill>
                <a:schemeClr val="dk1"/>
              </a:solidFill>
              <a:effectLst/>
              <a:latin typeface="Courier New" panose="02070309020205020404" pitchFamily="49" charset="0"/>
              <a:ea typeface="+mn-ea"/>
              <a:cs typeface="Courier New" panose="02070309020205020404" pitchFamily="49" charset="0"/>
            </a:rPr>
            <a:t>                    |    37550.8    21224.66    9931.288    8688.801    481741.4      559137</a:t>
          </a:r>
        </a:p>
        <a:p>
          <a:r>
            <a:rPr lang="en-US" sz="800">
              <a:solidFill>
                <a:schemeClr val="dk1"/>
              </a:solidFill>
              <a:effectLst/>
              <a:latin typeface="Courier New" panose="02070309020205020404" pitchFamily="49" charset="0"/>
              <a:ea typeface="+mn-ea"/>
              <a:cs typeface="Courier New" panose="02070309020205020404" pitchFamily="49" charset="0"/>
            </a:rPr>
            <a:t>                    | </a:t>
          </a:r>
        </a:p>
        <a:p>
          <a:r>
            <a:rPr lang="en-US" sz="800">
              <a:solidFill>
                <a:schemeClr val="dk1"/>
              </a:solidFill>
              <a:effectLst/>
              <a:latin typeface="Courier New" panose="02070309020205020404" pitchFamily="49" charset="0"/>
              <a:ea typeface="+mn-ea"/>
              <a:cs typeface="Courier New" panose="02070309020205020404" pitchFamily="49" charset="0"/>
            </a:rPr>
            <a:t>              Total |      43641       24667       11542       10098      559873      649821</a:t>
          </a:r>
        </a:p>
        <a:p>
          <a:r>
            <a:rPr lang="en-US" sz="800">
              <a:solidFill>
                <a:schemeClr val="dk1"/>
              </a:solidFill>
              <a:effectLst/>
              <a:latin typeface="Courier New" panose="02070309020205020404" pitchFamily="49" charset="0"/>
              <a:ea typeface="+mn-ea"/>
              <a:cs typeface="Courier New" panose="02070309020205020404" pitchFamily="49" charset="0"/>
            </a:rPr>
            <a:t>                    |      43641       24667       11542       10098      559873      649821</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 Independence model fits the marginals, that is the row and column totals, and therefore also the grand total.</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gen ID_indep_class=(50/649821)*(abs(count- indep_model_class ))</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table meth_num feth_num, contents (sum ID_indep_class ) row col cellwidth(10)</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husband's           |                         wife's race/ethnicity                         </a:t>
          </a:r>
        </a:p>
        <a:p>
          <a:r>
            <a:rPr lang="en-US" sz="800">
              <a:solidFill>
                <a:schemeClr val="dk1"/>
              </a:solidFill>
              <a:effectLst/>
              <a:latin typeface="Courier New" panose="02070309020205020404" pitchFamily="49" charset="0"/>
              <a:ea typeface="+mn-ea"/>
              <a:cs typeface="Courier New" panose="02070309020205020404" pitchFamily="49" charset="0"/>
            </a:rPr>
            <a:t>race/ethnicity      | Black, non  Mexican Am  Hispanic O  Non Hispan  White non        Total</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Black, non Hispanic |   3.035692    .1110334    .0307298    .0243811    2.869548    6.071385</a:t>
          </a:r>
        </a:p>
        <a:p>
          <a:r>
            <a:rPr lang="en-US" sz="800">
              <a:solidFill>
                <a:schemeClr val="dk1"/>
              </a:solidFill>
              <a:effectLst/>
              <a:latin typeface="Courier New" panose="02070309020205020404" pitchFamily="49" charset="0"/>
              <a:ea typeface="+mn-ea"/>
              <a:cs typeface="Courier New" panose="02070309020205020404" pitchFamily="49" charset="0"/>
            </a:rPr>
            <a:t>   Mexican American |    .123473     1.31789    .0125213    .0030731    1.210011    2.666968</a:t>
          </a:r>
        </a:p>
        <a:p>
          <a:r>
            <a:rPr lang="en-US" sz="800">
              <a:solidFill>
                <a:schemeClr val="dk1"/>
              </a:solidFill>
              <a:effectLst/>
              <a:latin typeface="Courier New" panose="02070309020205020404" pitchFamily="49" charset="0"/>
              <a:ea typeface="+mn-ea"/>
              <a:cs typeface="Courier New" panose="02070309020205020404" pitchFamily="49" charset="0"/>
            </a:rPr>
            <a:t>     Hispanic Other |   .0361363    .0147984    .4381824    .0059709    .4228154    .9179034</a:t>
          </a:r>
        </a:p>
        <a:p>
          <a:r>
            <a:rPr lang="en-US" sz="800">
              <a:solidFill>
                <a:schemeClr val="dk1"/>
              </a:solidFill>
              <a:effectLst/>
              <a:latin typeface="Courier New" panose="02070309020205020404" pitchFamily="49" charset="0"/>
              <a:ea typeface="+mn-ea"/>
              <a:cs typeface="Courier New" panose="02070309020205020404" pitchFamily="49" charset="0"/>
            </a:rPr>
            <a:t> Non Hispanic Other |   .0340851     .000733     .005396    .2603123    .2323564    .5328828</a:t>
          </a:r>
        </a:p>
        <a:p>
          <a:r>
            <a:rPr lang="en-US" sz="800">
              <a:solidFill>
                <a:schemeClr val="dk1"/>
              </a:solidFill>
              <a:effectLst/>
              <a:latin typeface="Courier New" panose="02070309020205020404" pitchFamily="49" charset="0"/>
              <a:ea typeface="+mn-ea"/>
              <a:cs typeface="Courier New" panose="02070309020205020404" pitchFamily="49" charset="0"/>
            </a:rPr>
            <a:t> White non Hispanic |   2.841998    1.222388    .4253701    .2449752    4.734732    9.469463</a:t>
          </a:r>
        </a:p>
        <a:p>
          <a:r>
            <a:rPr lang="en-US" sz="800">
              <a:solidFill>
                <a:schemeClr val="dk1"/>
              </a:solidFill>
              <a:effectLst/>
              <a:latin typeface="Courier New" panose="02070309020205020404" pitchFamily="49" charset="0"/>
              <a:ea typeface="+mn-ea"/>
              <a:cs typeface="Courier New" panose="02070309020205020404" pitchFamily="49" charset="0"/>
            </a:rPr>
            <a:t>                    | </a:t>
          </a:r>
        </a:p>
        <a:p>
          <a:r>
            <a:rPr lang="en-US" sz="800">
              <a:solidFill>
                <a:schemeClr val="dk1"/>
              </a:solidFill>
              <a:effectLst/>
              <a:latin typeface="Courier New" panose="02070309020205020404" pitchFamily="49" charset="0"/>
              <a:ea typeface="+mn-ea"/>
              <a:cs typeface="Courier New" panose="02070309020205020404" pitchFamily="49" charset="0"/>
            </a:rPr>
            <a:t>              Total |   6.071385    2.666842    .9121997    .5387127    9.469463     19.6586</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gen byte endogamy_diagonal=0</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replace endogamy_diagonal=1 if meth_num== feth_num</a:t>
          </a:r>
        </a:p>
        <a:p>
          <a:r>
            <a:rPr lang="en-US" sz="800">
              <a:solidFill>
                <a:schemeClr val="dk1"/>
              </a:solidFill>
              <a:effectLst/>
              <a:latin typeface="Courier New" panose="02070309020205020404" pitchFamily="49" charset="0"/>
              <a:ea typeface="+mn-ea"/>
              <a:cs typeface="Courier New" panose="02070309020205020404" pitchFamily="49" charset="0"/>
            </a:rPr>
            <a:t>(5 real changes made)</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table meth_num feth_num, contents (mean endogamy_diagonal ) cellwidth(10)</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note: cellwidth too small, variable name truncated;</a:t>
          </a:r>
        </a:p>
        <a:p>
          <a:r>
            <a:rPr lang="en-US" sz="800">
              <a:solidFill>
                <a:schemeClr val="dk1"/>
              </a:solidFill>
              <a:effectLst/>
              <a:latin typeface="Courier New" panose="02070309020205020404" pitchFamily="49" charset="0"/>
              <a:ea typeface="+mn-ea"/>
              <a:cs typeface="Courier New" panose="02070309020205020404" pitchFamily="49" charset="0"/>
            </a:rPr>
            <a:t>      to increase cellwidth, specify cellwidth(#)</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husband's           |                   wife's race/ethnicity                   </a:t>
          </a:r>
        </a:p>
        <a:p>
          <a:r>
            <a:rPr lang="en-US" sz="800">
              <a:solidFill>
                <a:schemeClr val="dk1"/>
              </a:solidFill>
              <a:effectLst/>
              <a:latin typeface="Courier New" panose="02070309020205020404" pitchFamily="49" charset="0"/>
              <a:ea typeface="+mn-ea"/>
              <a:cs typeface="Courier New" panose="02070309020205020404" pitchFamily="49" charset="0"/>
            </a:rPr>
            <a:t>race/ethnicity      | Black, non  Mexican Am  Hispanic O  Non Hispan  White non </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Black, non Hispanic |          1           0           0           0           0</a:t>
          </a:r>
        </a:p>
        <a:p>
          <a:r>
            <a:rPr lang="en-US" sz="800">
              <a:solidFill>
                <a:schemeClr val="dk1"/>
              </a:solidFill>
              <a:effectLst/>
              <a:latin typeface="Courier New" panose="02070309020205020404" pitchFamily="49" charset="0"/>
              <a:ea typeface="+mn-ea"/>
              <a:cs typeface="Courier New" panose="02070309020205020404" pitchFamily="49" charset="0"/>
            </a:rPr>
            <a:t>   Mexican American |          0           1           0           0           0</a:t>
          </a:r>
        </a:p>
        <a:p>
          <a:r>
            <a:rPr lang="en-US" sz="800">
              <a:solidFill>
                <a:schemeClr val="dk1"/>
              </a:solidFill>
              <a:effectLst/>
              <a:latin typeface="Courier New" panose="02070309020205020404" pitchFamily="49" charset="0"/>
              <a:ea typeface="+mn-ea"/>
              <a:cs typeface="Courier New" panose="02070309020205020404" pitchFamily="49" charset="0"/>
            </a:rPr>
            <a:t>     Hispanic Other |          0           0           1           0           0</a:t>
          </a:r>
        </a:p>
        <a:p>
          <a:r>
            <a:rPr lang="en-US" sz="800">
              <a:solidFill>
                <a:schemeClr val="dk1"/>
              </a:solidFill>
              <a:effectLst/>
              <a:latin typeface="Courier New" panose="02070309020205020404" pitchFamily="49" charset="0"/>
              <a:ea typeface="+mn-ea"/>
              <a:cs typeface="Courier New" panose="02070309020205020404" pitchFamily="49" charset="0"/>
            </a:rPr>
            <a:t> Non Hispanic Other |          0           0           0           1           0</a:t>
          </a:r>
        </a:p>
        <a:p>
          <a:r>
            <a:rPr lang="en-US" sz="800">
              <a:solidFill>
                <a:schemeClr val="dk1"/>
              </a:solidFill>
              <a:effectLst/>
              <a:latin typeface="Courier New" panose="02070309020205020404" pitchFamily="49" charset="0"/>
              <a:ea typeface="+mn-ea"/>
              <a:cs typeface="Courier New" panose="02070309020205020404" pitchFamily="49" charset="0"/>
            </a:rPr>
            <a:t> White non Hispanic |          0           0           0           0           1</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3) Adding one term for the endogamy diagonal</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poisson count i.meth_num i.feth_num endogamy_diagonal</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Poisson regression                                Number of obs   =         25</a:t>
          </a:r>
        </a:p>
        <a:p>
          <a:r>
            <a:rPr lang="en-US" sz="800">
              <a:solidFill>
                <a:schemeClr val="dk1"/>
              </a:solidFill>
              <a:effectLst/>
              <a:latin typeface="Courier New" panose="02070309020205020404" pitchFamily="49" charset="0"/>
              <a:ea typeface="+mn-ea"/>
              <a:cs typeface="Courier New" panose="02070309020205020404" pitchFamily="49" charset="0"/>
            </a:rPr>
            <a:t>                                                  LR chi2(9)      = 3129502.75</a:t>
          </a:r>
        </a:p>
        <a:p>
          <a:r>
            <a:rPr lang="en-US" sz="800">
              <a:solidFill>
                <a:schemeClr val="dk1"/>
              </a:solidFill>
              <a:effectLst/>
              <a:latin typeface="Courier New" panose="02070309020205020404" pitchFamily="49" charset="0"/>
              <a:ea typeface="+mn-ea"/>
              <a:cs typeface="Courier New" panose="02070309020205020404" pitchFamily="49" charset="0"/>
            </a:rPr>
            <a:t>                                                  Prob &gt; chi2     =     0.0000</a:t>
          </a:r>
        </a:p>
        <a:p>
          <a:r>
            <a:rPr lang="en-US" sz="800">
              <a:solidFill>
                <a:schemeClr val="dk1"/>
              </a:solidFill>
              <a:effectLst/>
              <a:latin typeface="Courier New" panose="02070309020205020404" pitchFamily="49" charset="0"/>
              <a:ea typeface="+mn-ea"/>
              <a:cs typeface="Courier New" panose="02070309020205020404" pitchFamily="49" charset="0"/>
            </a:rPr>
            <a:t>Log likelihood =  -11730.28                       Pseudo R2       =     0.9926</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              count |      Coef.   Std. Err.      z    P&gt;|z|     [95% Conf. Interval]</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           meth_num |</a:t>
          </a:r>
        </a:p>
        <a:p>
          <a:r>
            <a:rPr lang="en-US" sz="800">
              <a:solidFill>
                <a:schemeClr val="dk1"/>
              </a:solidFill>
              <a:effectLst/>
              <a:latin typeface="Courier New" panose="02070309020205020404" pitchFamily="49" charset="0"/>
              <a:ea typeface="+mn-ea"/>
              <a:cs typeface="Courier New" panose="02070309020205020404" pitchFamily="49" charset="0"/>
            </a:rPr>
            <a:t>  Mexican American  |   -.391273    .011867   -32.97   0.000    -.4145319    -.368014</a:t>
          </a:r>
        </a:p>
        <a:p>
          <a:r>
            <a:rPr lang="en-US" sz="800">
              <a:solidFill>
                <a:schemeClr val="dk1"/>
              </a:solidFill>
              <a:effectLst/>
              <a:latin typeface="Courier New" panose="02070309020205020404" pitchFamily="49" charset="0"/>
              <a:ea typeface="+mn-ea"/>
              <a:cs typeface="Courier New" panose="02070309020205020404" pitchFamily="49" charset="0"/>
            </a:rPr>
            <a:t>    Hispanic Other  |  -.8877092   .0141065   -62.93   0.000    -.9153574    -.860061</a:t>
          </a:r>
        </a:p>
        <a:p>
          <a:r>
            <a:rPr lang="en-US" sz="800">
              <a:solidFill>
                <a:schemeClr val="dk1"/>
              </a:solidFill>
              <a:effectLst/>
              <a:latin typeface="Courier New" panose="02070309020205020404" pitchFamily="49" charset="0"/>
              <a:ea typeface="+mn-ea"/>
              <a:cs typeface="Courier New" panose="02070309020205020404" pitchFamily="49" charset="0"/>
            </a:rPr>
            <a:t>Non Hispanic Other  |  -1.321856   .0156512   -84.46   0.000    -1.352532    -1.29118</a:t>
          </a:r>
        </a:p>
        <a:p>
          <a:r>
            <a:rPr lang="en-US" sz="800">
              <a:solidFill>
                <a:schemeClr val="dk1"/>
              </a:solidFill>
              <a:effectLst/>
              <a:latin typeface="Courier New" panose="02070309020205020404" pitchFamily="49" charset="0"/>
              <a:ea typeface="+mn-ea"/>
              <a:cs typeface="Courier New" panose="02070309020205020404" pitchFamily="49" charset="0"/>
            </a:rPr>
            <a:t>White non Hispanic  |   1.233632    .008495   145.22   0.000     1.216982    1.250282</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feth_num |</a:t>
          </a:r>
        </a:p>
        <a:p>
          <a:r>
            <a:rPr lang="en-US" sz="800">
              <a:solidFill>
                <a:schemeClr val="dk1"/>
              </a:solidFill>
              <a:effectLst/>
              <a:latin typeface="Courier New" panose="02070309020205020404" pitchFamily="49" charset="0"/>
              <a:ea typeface="+mn-ea"/>
              <a:cs typeface="Courier New" panose="02070309020205020404" pitchFamily="49" charset="0"/>
            </a:rPr>
            <a:t>  Mexican American  |  -.2689479   .0120762   -22.27   0.000    -.2926167    -.245279</a:t>
          </a:r>
        </a:p>
        <a:p>
          <a:r>
            <a:rPr lang="en-US" sz="800">
              <a:solidFill>
                <a:schemeClr val="dk1"/>
              </a:solidFill>
              <a:effectLst/>
              <a:latin typeface="Courier New" panose="02070309020205020404" pitchFamily="49" charset="0"/>
              <a:ea typeface="+mn-ea"/>
              <a:cs typeface="Courier New" panose="02070309020205020404" pitchFamily="49" charset="0"/>
            </a:rPr>
            <a:t>    Hispanic Other  |  -.6892557   .0142621   -48.33   0.000    -.7172089   -.6613025</a:t>
          </a:r>
        </a:p>
        <a:p>
          <a:r>
            <a:rPr lang="en-US" sz="800">
              <a:solidFill>
                <a:schemeClr val="dk1"/>
              </a:solidFill>
              <a:effectLst/>
              <a:latin typeface="Courier New" panose="02070309020205020404" pitchFamily="49" charset="0"/>
              <a:ea typeface="+mn-ea"/>
              <a:cs typeface="Courier New" panose="02070309020205020404" pitchFamily="49" charset="0"/>
            </a:rPr>
            <a:t>Non Hispanic Other  |  -.5729032   .0146367   -39.14   0.000    -.6015907   -.5442157</a:t>
          </a:r>
        </a:p>
        <a:p>
          <a:r>
            <a:rPr lang="en-US" sz="800">
              <a:solidFill>
                <a:schemeClr val="dk1"/>
              </a:solidFill>
              <a:effectLst/>
              <a:latin typeface="Courier New" panose="02070309020205020404" pitchFamily="49" charset="0"/>
              <a:ea typeface="+mn-ea"/>
              <a:cs typeface="Courier New" panose="02070309020205020404" pitchFamily="49" charset="0"/>
            </a:rPr>
            <a:t>White non Hispanic  |   1.467609   .0086021   170.61   0.000     1.450749    1.484469</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endogamy_diagonal |   3.208822   .0058359   549.84   0.000     3.197384     3.22026</a:t>
          </a:r>
        </a:p>
        <a:p>
          <a:r>
            <a:rPr lang="en-US" sz="800">
              <a:solidFill>
                <a:schemeClr val="dk1"/>
              </a:solidFill>
              <a:effectLst/>
              <a:latin typeface="Courier New" panose="02070309020205020404" pitchFamily="49" charset="0"/>
              <a:ea typeface="+mn-ea"/>
              <a:cs typeface="Courier New" panose="02070309020205020404" pitchFamily="49" charset="0"/>
            </a:rPr>
            <a:t>              _cons |   7.298074   .0068811  1060.60   0.000     7.284587    7.311561</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display exp(3.2088)</a:t>
          </a:r>
        </a:p>
        <a:p>
          <a:r>
            <a:rPr lang="en-US" sz="800">
              <a:solidFill>
                <a:schemeClr val="dk1"/>
              </a:solidFill>
              <a:effectLst/>
              <a:latin typeface="Courier New" panose="02070309020205020404" pitchFamily="49" charset="0"/>
              <a:ea typeface="+mn-ea"/>
              <a:cs typeface="Courier New" panose="02070309020205020404" pitchFamily="49" charset="0"/>
            </a:rPr>
            <a:t>24.749369</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How to interpret the coefficients. For the endogamy diagonal, having the same race as one’s spouse increases the log count by a highly significant 3.2. If we exponentiate, being on the endogamy diagonal increases the count by a factor of 24.7, or in Stata language by an Incident Rate Ratio of 24.7.</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poisgof</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Deviance goodness-of-fit =  23230.56</a:t>
          </a:r>
        </a:p>
        <a:p>
          <a:r>
            <a:rPr lang="en-US" sz="800">
              <a:solidFill>
                <a:schemeClr val="dk1"/>
              </a:solidFill>
              <a:effectLst/>
              <a:latin typeface="Courier New" panose="02070309020205020404" pitchFamily="49" charset="0"/>
              <a:ea typeface="+mn-ea"/>
              <a:cs typeface="Courier New" panose="02070309020205020404" pitchFamily="49" charset="0"/>
            </a:rPr>
            <a:t>         Prob &gt; chi2(15)          =    0.0000</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Pearson goodness-of-fit  =  20603.22</a:t>
          </a:r>
        </a:p>
        <a:p>
          <a:r>
            <a:rPr lang="en-US" sz="800">
              <a:solidFill>
                <a:schemeClr val="dk1"/>
              </a:solidFill>
              <a:effectLst/>
              <a:latin typeface="Courier New" panose="02070309020205020404" pitchFamily="49" charset="0"/>
              <a:ea typeface="+mn-ea"/>
              <a:cs typeface="Courier New" panose="02070309020205020404" pitchFamily="49" charset="0"/>
            </a:rPr>
            <a:t>         Prob &gt; chi2(15)          =    0.0000</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gen byte endogamy_diagonal_cat=0</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replace endogamy_diagonal_cat= meth_num if meth_num== feth_num</a:t>
          </a:r>
        </a:p>
        <a:p>
          <a:r>
            <a:rPr lang="en-US" sz="800">
              <a:solidFill>
                <a:schemeClr val="dk1"/>
              </a:solidFill>
              <a:effectLst/>
              <a:latin typeface="Courier New" panose="02070309020205020404" pitchFamily="49" charset="0"/>
              <a:ea typeface="+mn-ea"/>
              <a:cs typeface="Courier New" panose="02070309020205020404" pitchFamily="49" charset="0"/>
            </a:rPr>
            <a:t>(5 real changes made)</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predict endogamy_dichotomous</a:t>
          </a:r>
        </a:p>
        <a:p>
          <a:r>
            <a:rPr lang="en-US" sz="800">
              <a:solidFill>
                <a:schemeClr val="dk1"/>
              </a:solidFill>
              <a:effectLst/>
              <a:latin typeface="Courier New" panose="02070309020205020404" pitchFamily="49" charset="0"/>
              <a:ea typeface="+mn-ea"/>
              <a:cs typeface="Courier New" panose="02070309020205020404" pitchFamily="49" charset="0"/>
            </a:rPr>
            <a:t>(option n assumed; predicted number of events)</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gen ID_endogamy_dichotomous=(50/649821)*(abs(count- endogamy_dichotomous ))</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table meth_num feth_num, contents (sum ID_endogamy_dichotomous ) row col cellwidth(10)</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husband's           |                         wife's race/ethnicity                         </a:t>
          </a:r>
        </a:p>
        <a:p>
          <a:r>
            <a:rPr lang="en-US" sz="800">
              <a:solidFill>
                <a:schemeClr val="dk1"/>
              </a:solidFill>
              <a:effectLst/>
              <a:latin typeface="Courier New" panose="02070309020205020404" pitchFamily="49" charset="0"/>
              <a:ea typeface="+mn-ea"/>
              <a:cs typeface="Courier New" panose="02070309020205020404" pitchFamily="49" charset="0"/>
            </a:rPr>
            <a:t>race/ethnicity      | Black, non  Mexican Am  Hispanic O  Non Hispan  White non        Total</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Black, non Hispanic |   .4581418    .0644826    .0253613    .0338643    .3344336    .9162835</a:t>
          </a:r>
        </a:p>
        <a:p>
          <a:r>
            <a:rPr lang="en-US" sz="800">
              <a:solidFill>
                <a:schemeClr val="dk1"/>
              </a:solidFill>
              <a:effectLst/>
              <a:latin typeface="Courier New" panose="02070309020205020404" pitchFamily="49" charset="0"/>
              <a:ea typeface="+mn-ea"/>
              <a:cs typeface="Courier New" panose="02070309020205020404" pitchFamily="49" charset="0"/>
            </a:rPr>
            <a:t>   Mexican American |   .0696381    .0621266    .0085046    .0100295    .1332898    .2835886</a:t>
          </a:r>
        </a:p>
        <a:p>
          <a:r>
            <a:rPr lang="en-US" sz="800">
              <a:solidFill>
                <a:schemeClr val="dk1"/>
              </a:solidFill>
              <a:effectLst/>
              <a:latin typeface="Courier New" panose="02070309020205020404" pitchFamily="49" charset="0"/>
              <a:ea typeface="+mn-ea"/>
              <a:cs typeface="Courier New" panose="02070309020205020404" pitchFamily="49" charset="0"/>
            </a:rPr>
            <a:t>     Hispanic Other |   .0229383    .0129488    .1272461    .0065332    .1437687    .3134351</a:t>
          </a:r>
        </a:p>
        <a:p>
          <a:r>
            <a:rPr lang="en-US" sz="800">
              <a:solidFill>
                <a:schemeClr val="dk1"/>
              </a:solidFill>
              <a:effectLst/>
              <a:latin typeface="Courier New" panose="02070309020205020404" pitchFamily="49" charset="0"/>
              <a:ea typeface="+mn-ea"/>
              <a:cs typeface="Courier New" panose="02070309020205020404" pitchFamily="49" charset="0"/>
            </a:rPr>
            <a:t> Non Hispanic Other |   .0225406    .0012274     .001251    .1530409    .1731031     .351163</a:t>
          </a:r>
        </a:p>
        <a:p>
          <a:r>
            <a:rPr lang="en-US" sz="800">
              <a:solidFill>
                <a:schemeClr val="dk1"/>
              </a:solidFill>
              <a:effectLst/>
              <a:latin typeface="Courier New" panose="02070309020205020404" pitchFamily="49" charset="0"/>
              <a:ea typeface="+mn-ea"/>
              <a:cs typeface="Courier New" panose="02070309020205020404" pitchFamily="49" charset="0"/>
            </a:rPr>
            <a:t> White non Hispanic |   .3430248    .1124331    .1428519    .2034678     .115729    .9175065</a:t>
          </a:r>
        </a:p>
        <a:p>
          <a:r>
            <a:rPr lang="en-US" sz="800">
              <a:solidFill>
                <a:schemeClr val="dk1"/>
              </a:solidFill>
              <a:effectLst/>
              <a:latin typeface="Courier New" panose="02070309020205020404" pitchFamily="49" charset="0"/>
              <a:ea typeface="+mn-ea"/>
              <a:cs typeface="Courier New" panose="02070309020205020404" pitchFamily="49" charset="0"/>
            </a:rPr>
            <a:t>                    | </a:t>
          </a:r>
        </a:p>
        <a:p>
          <a:r>
            <a:rPr lang="en-US" sz="800">
              <a:solidFill>
                <a:schemeClr val="dk1"/>
              </a:solidFill>
              <a:effectLst/>
              <a:latin typeface="Courier New" panose="02070309020205020404" pitchFamily="49" charset="0"/>
              <a:ea typeface="+mn-ea"/>
              <a:cs typeface="Courier New" panose="02070309020205020404" pitchFamily="49" charset="0"/>
            </a:rPr>
            <a:t>              Total |   .9162836    .2532186    .3052149    .4069357    .9003242    2.781977</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 *Fitting better by ID now, only misclassifying 2.8% of all cases.</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4) Quasi-Independence, or independence plus a separate term for each cell on the endogamy diagonal.</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poisson count i.meth_num i.feth_num i.endogamy_diagonal_cat</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Poisson regression                                Number of obs   =         25</a:t>
          </a:r>
        </a:p>
        <a:p>
          <a:r>
            <a:rPr lang="en-US" sz="800">
              <a:solidFill>
                <a:schemeClr val="dk1"/>
              </a:solidFill>
              <a:effectLst/>
              <a:latin typeface="Courier New" panose="02070309020205020404" pitchFamily="49" charset="0"/>
              <a:ea typeface="+mn-ea"/>
              <a:cs typeface="Courier New" panose="02070309020205020404" pitchFamily="49" charset="0"/>
            </a:rPr>
            <a:t>                                                  LR chi2(13)     = 3151666.22</a:t>
          </a:r>
        </a:p>
        <a:p>
          <a:r>
            <a:rPr lang="en-US" sz="800">
              <a:solidFill>
                <a:schemeClr val="dk1"/>
              </a:solidFill>
              <a:effectLst/>
              <a:latin typeface="Courier New" panose="02070309020205020404" pitchFamily="49" charset="0"/>
              <a:ea typeface="+mn-ea"/>
              <a:cs typeface="Courier New" panose="02070309020205020404" pitchFamily="49" charset="0"/>
            </a:rPr>
            <a:t>                                                  Prob &gt; chi2     =     0.0000</a:t>
          </a:r>
        </a:p>
        <a:p>
          <a:r>
            <a:rPr lang="en-US" sz="800">
              <a:solidFill>
                <a:schemeClr val="dk1"/>
              </a:solidFill>
              <a:effectLst/>
              <a:latin typeface="Courier New" panose="02070309020205020404" pitchFamily="49" charset="0"/>
              <a:ea typeface="+mn-ea"/>
              <a:cs typeface="Courier New" panose="02070309020205020404" pitchFamily="49" charset="0"/>
            </a:rPr>
            <a:t>Log likelihood = -648.54411                       Pseudo R2       =     0.9996</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                count |      Coef.   Std. Err.      z    P&gt;|z|     [95% Conf. Interval]</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             meth_num |</a:t>
          </a:r>
        </a:p>
        <a:p>
          <a:r>
            <a:rPr lang="en-US" sz="800">
              <a:solidFill>
                <a:schemeClr val="dk1"/>
              </a:solidFill>
              <a:effectLst/>
              <a:latin typeface="Courier New" panose="02070309020205020404" pitchFamily="49" charset="0"/>
              <a:ea typeface="+mn-ea"/>
              <a:cs typeface="Courier New" panose="02070309020205020404" pitchFamily="49" charset="0"/>
            </a:rPr>
            <a:t>    Mexican American  |    .899968   .0213908    42.07   0.000     .8580427    .9418932</a:t>
          </a:r>
        </a:p>
        <a:p>
          <a:r>
            <a:rPr lang="en-US" sz="800">
              <a:solidFill>
                <a:schemeClr val="dk1"/>
              </a:solidFill>
              <a:effectLst/>
              <a:latin typeface="Courier New" panose="02070309020205020404" pitchFamily="49" charset="0"/>
              <a:ea typeface="+mn-ea"/>
              <a:cs typeface="Courier New" panose="02070309020205020404" pitchFamily="49" charset="0"/>
            </a:rPr>
            <a:t>      Hispanic Other  |   .6519274   .0222121    29.35   0.000     .6083924    .6954623</a:t>
          </a:r>
        </a:p>
        <a:p>
          <a:r>
            <a:rPr lang="en-US" sz="800">
              <a:solidFill>
                <a:schemeClr val="dk1"/>
              </a:solidFill>
              <a:effectLst/>
              <a:latin typeface="Courier New" panose="02070309020205020404" pitchFamily="49" charset="0"/>
              <a:ea typeface="+mn-ea"/>
              <a:cs typeface="Courier New" panose="02070309020205020404" pitchFamily="49" charset="0"/>
            </a:rPr>
            <a:t>  Non Hispanic Other  |   .4459202   .0231596    19.25   0.000     .4005282    .4913121</a:t>
          </a:r>
        </a:p>
        <a:p>
          <a:r>
            <a:rPr lang="en-US" sz="800">
              <a:solidFill>
                <a:schemeClr val="dk1"/>
              </a:solidFill>
              <a:effectLst/>
              <a:latin typeface="Courier New" panose="02070309020205020404" pitchFamily="49" charset="0"/>
              <a:ea typeface="+mn-ea"/>
              <a:cs typeface="Courier New" panose="02070309020205020404" pitchFamily="49" charset="0"/>
            </a:rPr>
            <a:t>  White non Hispanic  |   2.971213   .0235674   126.07   0.000     2.925022    3.017404</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feth_num |</a:t>
          </a:r>
        </a:p>
        <a:p>
          <a:r>
            <a:rPr lang="en-US" sz="800">
              <a:solidFill>
                <a:schemeClr val="dk1"/>
              </a:solidFill>
              <a:effectLst/>
              <a:latin typeface="Courier New" panose="02070309020205020404" pitchFamily="49" charset="0"/>
              <a:ea typeface="+mn-ea"/>
              <a:cs typeface="Courier New" panose="02070309020205020404" pitchFamily="49" charset="0"/>
            </a:rPr>
            <a:t>    Mexican American  |   1.829598    .032363    56.53   0.000     1.766168    1.893028</a:t>
          </a:r>
        </a:p>
        <a:p>
          <a:r>
            <a:rPr lang="en-US" sz="800">
              <a:solidFill>
                <a:schemeClr val="dk1"/>
              </a:solidFill>
              <a:effectLst/>
              <a:latin typeface="Courier New" panose="02070309020205020404" pitchFamily="49" charset="0"/>
              <a:ea typeface="+mn-ea"/>
              <a:cs typeface="Courier New" panose="02070309020205020404" pitchFamily="49" charset="0"/>
            </a:rPr>
            <a:t>      Hispanic Other  |   1.653511   .0327399    50.50   0.000     1.589342     1.71768</a:t>
          </a:r>
        </a:p>
        <a:p>
          <a:r>
            <a:rPr lang="en-US" sz="800">
              <a:solidFill>
                <a:schemeClr val="dk1"/>
              </a:solidFill>
              <a:effectLst/>
              <a:latin typeface="Courier New" panose="02070309020205020404" pitchFamily="49" charset="0"/>
              <a:ea typeface="+mn-ea"/>
              <a:cs typeface="Courier New" panose="02070309020205020404" pitchFamily="49" charset="0"/>
            </a:rPr>
            <a:t>  Non Hispanic Other  |   1.794394   .0323429    55.48   0.000     1.731004    1.857785</a:t>
          </a:r>
        </a:p>
        <a:p>
          <a:r>
            <a:rPr lang="en-US" sz="800">
              <a:solidFill>
                <a:schemeClr val="dk1"/>
              </a:solidFill>
              <a:effectLst/>
              <a:latin typeface="Courier New" panose="02070309020205020404" pitchFamily="49" charset="0"/>
              <a:ea typeface="+mn-ea"/>
              <a:cs typeface="Courier New" panose="02070309020205020404" pitchFamily="49" charset="0"/>
            </a:rPr>
            <a:t>  White non Hispanic  |   3.995454   .0336881   118.60   0.000     3.929427    4.061482</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endogamy_diagonal_cat |</a:t>
          </a:r>
        </a:p>
        <a:p>
          <a:r>
            <a:rPr lang="en-US" sz="800">
              <a:solidFill>
                <a:schemeClr val="dk1"/>
              </a:solidFill>
              <a:effectLst/>
              <a:latin typeface="Courier New" panose="02070309020205020404" pitchFamily="49" charset="0"/>
              <a:ea typeface="+mn-ea"/>
              <a:cs typeface="Courier New" panose="02070309020205020404" pitchFamily="49" charset="0"/>
            </a:rPr>
            <a:t>                   1  |   6.873631   .0370393   185.58   0.000     6.801036    6.946227</a:t>
          </a:r>
        </a:p>
        <a:p>
          <a:r>
            <a:rPr lang="en-US" sz="800">
              <a:solidFill>
                <a:schemeClr val="dk1"/>
              </a:solidFill>
              <a:effectLst/>
              <a:latin typeface="Courier New" panose="02070309020205020404" pitchFamily="49" charset="0"/>
              <a:ea typeface="+mn-ea"/>
              <a:cs typeface="Courier New" panose="02070309020205020404" pitchFamily="49" charset="0"/>
            </a:rPr>
            <a:t>                   2  |   3.289316   .0229991   143.02   0.000     3.244239    3.334393</a:t>
          </a:r>
        </a:p>
        <a:p>
          <a:r>
            <a:rPr lang="en-US" sz="800">
              <a:solidFill>
                <a:schemeClr val="dk1"/>
              </a:solidFill>
              <a:effectLst/>
              <a:latin typeface="Courier New" panose="02070309020205020404" pitchFamily="49" charset="0"/>
              <a:ea typeface="+mn-ea"/>
              <a:cs typeface="Courier New" panose="02070309020205020404" pitchFamily="49" charset="0"/>
            </a:rPr>
            <a:t>                   3  |   2.593316   .0262895    98.64   0.000      2.54179    2.644843</a:t>
          </a:r>
        </a:p>
        <a:p>
          <a:r>
            <a:rPr lang="en-US" sz="800">
              <a:solidFill>
                <a:schemeClr val="dk1"/>
              </a:solidFill>
              <a:effectLst/>
              <a:latin typeface="Courier New" panose="02070309020205020404" pitchFamily="49" charset="0"/>
              <a:ea typeface="+mn-ea"/>
              <a:cs typeface="Courier New" panose="02070309020205020404" pitchFamily="49" charset="0"/>
            </a:rPr>
            <a:t>                   4  |    2.13865   .0286843    74.56   0.000      2.08243     2.19487</a:t>
          </a:r>
        </a:p>
        <a:p>
          <a:r>
            <a:rPr lang="en-US" sz="800">
              <a:solidFill>
                <a:schemeClr val="dk1"/>
              </a:solidFill>
              <a:effectLst/>
              <a:latin typeface="Courier New" panose="02070309020205020404" pitchFamily="49" charset="0"/>
              <a:ea typeface="+mn-ea"/>
              <a:cs typeface="Courier New" panose="02070309020205020404" pitchFamily="49" charset="0"/>
            </a:rPr>
            <a:t>                   5  |   2.454583   .0192917   127.24   0.000     2.416772    2.492394</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_cons |   3.784122   .0367204   103.05   0.000     3.712151    3.856093</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Note how different the endogamy diagonal terms are. Non-Hispanic blacks (category 1) are the most endogamous, the most likely to be married to someone from the same group. Below we test the difference between two of the above endogamy diagonal terms, and the difference is highly significant, which it should be. Adding 4 terms to model 3 improved our goodness of fit by 22,000 on 4 df.</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poisgof</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Deviance goodness-of-fit =  1067.088</a:t>
          </a:r>
        </a:p>
        <a:p>
          <a:r>
            <a:rPr lang="en-US" sz="800">
              <a:solidFill>
                <a:schemeClr val="dk1"/>
              </a:solidFill>
              <a:effectLst/>
              <a:latin typeface="Courier New" panose="02070309020205020404" pitchFamily="49" charset="0"/>
              <a:ea typeface="+mn-ea"/>
              <a:cs typeface="Courier New" panose="02070309020205020404" pitchFamily="49" charset="0"/>
            </a:rPr>
            <a:t>         Prob &gt; chi2(11)          =    0.0000</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Pearson goodness-of-fit  =  1294.682</a:t>
          </a:r>
        </a:p>
        <a:p>
          <a:r>
            <a:rPr lang="en-US" sz="800">
              <a:solidFill>
                <a:schemeClr val="dk1"/>
              </a:solidFill>
              <a:effectLst/>
              <a:latin typeface="Courier New" panose="02070309020205020404" pitchFamily="49" charset="0"/>
              <a:ea typeface="+mn-ea"/>
              <a:cs typeface="Courier New" panose="02070309020205020404" pitchFamily="49" charset="0"/>
            </a:rPr>
            <a:t>         Prob &gt; chi2(11)          =    0.0000</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table meth_num feth_num, contents (mean endogamy_diagonal_cat ) cellwidth(10)</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note: cellwidth too small, variable name truncated;</a:t>
          </a:r>
        </a:p>
        <a:p>
          <a:r>
            <a:rPr lang="en-US" sz="800">
              <a:solidFill>
                <a:schemeClr val="dk1"/>
              </a:solidFill>
              <a:effectLst/>
              <a:latin typeface="Courier New" panose="02070309020205020404" pitchFamily="49" charset="0"/>
              <a:ea typeface="+mn-ea"/>
              <a:cs typeface="Courier New" panose="02070309020205020404" pitchFamily="49" charset="0"/>
            </a:rPr>
            <a:t>      to increase cellwidth, specify cellwidth(#)</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husband's           |                   wife's race/ethnicity                   </a:t>
          </a:r>
        </a:p>
        <a:p>
          <a:r>
            <a:rPr lang="en-US" sz="800">
              <a:solidFill>
                <a:schemeClr val="dk1"/>
              </a:solidFill>
              <a:effectLst/>
              <a:latin typeface="Courier New" panose="02070309020205020404" pitchFamily="49" charset="0"/>
              <a:ea typeface="+mn-ea"/>
              <a:cs typeface="Courier New" panose="02070309020205020404" pitchFamily="49" charset="0"/>
            </a:rPr>
            <a:t>race/ethnicity      | Black, non  Mexican Am  Hispanic O  Non Hispan  White non </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Black, non Hispanic |          1           0           0           0           0</a:t>
          </a:r>
        </a:p>
        <a:p>
          <a:r>
            <a:rPr lang="en-US" sz="800">
              <a:solidFill>
                <a:schemeClr val="dk1"/>
              </a:solidFill>
              <a:effectLst/>
              <a:latin typeface="Courier New" panose="02070309020205020404" pitchFamily="49" charset="0"/>
              <a:ea typeface="+mn-ea"/>
              <a:cs typeface="Courier New" panose="02070309020205020404" pitchFamily="49" charset="0"/>
            </a:rPr>
            <a:t>   Mexican American |          0           2           0           0           0</a:t>
          </a:r>
        </a:p>
        <a:p>
          <a:r>
            <a:rPr lang="en-US" sz="800">
              <a:solidFill>
                <a:schemeClr val="dk1"/>
              </a:solidFill>
              <a:effectLst/>
              <a:latin typeface="Courier New" panose="02070309020205020404" pitchFamily="49" charset="0"/>
              <a:ea typeface="+mn-ea"/>
              <a:cs typeface="Courier New" panose="02070309020205020404" pitchFamily="49" charset="0"/>
            </a:rPr>
            <a:t>     Hispanic Other |          0           0           3           0           0</a:t>
          </a:r>
        </a:p>
        <a:p>
          <a:r>
            <a:rPr lang="en-US" sz="800">
              <a:solidFill>
                <a:schemeClr val="dk1"/>
              </a:solidFill>
              <a:effectLst/>
              <a:latin typeface="Courier New" panose="02070309020205020404" pitchFamily="49" charset="0"/>
              <a:ea typeface="+mn-ea"/>
              <a:cs typeface="Courier New" panose="02070309020205020404" pitchFamily="49" charset="0"/>
            </a:rPr>
            <a:t> Non Hispanic Other |          0           0           0           4           0</a:t>
          </a:r>
        </a:p>
        <a:p>
          <a:r>
            <a:rPr lang="en-US" sz="800">
              <a:solidFill>
                <a:schemeClr val="dk1"/>
              </a:solidFill>
              <a:effectLst/>
              <a:latin typeface="Courier New" panose="02070309020205020404" pitchFamily="49" charset="0"/>
              <a:ea typeface="+mn-ea"/>
              <a:cs typeface="Courier New" panose="02070309020205020404" pitchFamily="49" charset="0"/>
            </a:rPr>
            <a:t> White non Hispanic |          0           0           0           0           5</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codebook meth_num</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meth_num                                                                     husband's race/ethnicity</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type:  numeric (byte)</a:t>
          </a:r>
        </a:p>
        <a:p>
          <a:r>
            <a:rPr lang="en-US" sz="800">
              <a:solidFill>
                <a:schemeClr val="dk1"/>
              </a:solidFill>
              <a:effectLst/>
              <a:latin typeface="Courier New" panose="02070309020205020404" pitchFamily="49" charset="0"/>
              <a:ea typeface="+mn-ea"/>
              <a:cs typeface="Courier New" panose="02070309020205020404" pitchFamily="49" charset="0"/>
            </a:rPr>
            <a:t>                 label:  ethnicity</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range:  [1,5]                        units:  1</a:t>
          </a:r>
        </a:p>
        <a:p>
          <a:r>
            <a:rPr lang="en-US" sz="800">
              <a:solidFill>
                <a:schemeClr val="dk1"/>
              </a:solidFill>
              <a:effectLst/>
              <a:latin typeface="Courier New" panose="02070309020205020404" pitchFamily="49" charset="0"/>
              <a:ea typeface="+mn-ea"/>
              <a:cs typeface="Courier New" panose="02070309020205020404" pitchFamily="49" charset="0"/>
            </a:rPr>
            <a:t>         unique values:  5                        missing .:  0/25</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tabulation:  Freq.   Numeric  Label</a:t>
          </a:r>
        </a:p>
        <a:p>
          <a:r>
            <a:rPr lang="en-US" sz="800">
              <a:solidFill>
                <a:schemeClr val="dk1"/>
              </a:solidFill>
              <a:effectLst/>
              <a:latin typeface="Courier New" panose="02070309020205020404" pitchFamily="49" charset="0"/>
              <a:ea typeface="+mn-ea"/>
              <a:cs typeface="Courier New" panose="02070309020205020404" pitchFamily="49" charset="0"/>
            </a:rPr>
            <a:t>                             5         1  Black, non Hispanic</a:t>
          </a:r>
        </a:p>
        <a:p>
          <a:r>
            <a:rPr lang="en-US" sz="800">
              <a:solidFill>
                <a:schemeClr val="dk1"/>
              </a:solidFill>
              <a:effectLst/>
              <a:latin typeface="Courier New" panose="02070309020205020404" pitchFamily="49" charset="0"/>
              <a:ea typeface="+mn-ea"/>
              <a:cs typeface="Courier New" panose="02070309020205020404" pitchFamily="49" charset="0"/>
            </a:rPr>
            <a:t>                             5         2  Mexican American</a:t>
          </a:r>
        </a:p>
        <a:p>
          <a:r>
            <a:rPr lang="en-US" sz="800">
              <a:solidFill>
                <a:schemeClr val="dk1"/>
              </a:solidFill>
              <a:effectLst/>
              <a:latin typeface="Courier New" panose="02070309020205020404" pitchFamily="49" charset="0"/>
              <a:ea typeface="+mn-ea"/>
              <a:cs typeface="Courier New" panose="02070309020205020404" pitchFamily="49" charset="0"/>
            </a:rPr>
            <a:t>                             5         3  Hispanic Other</a:t>
          </a:r>
        </a:p>
        <a:p>
          <a:r>
            <a:rPr lang="en-US" sz="800">
              <a:solidFill>
                <a:schemeClr val="dk1"/>
              </a:solidFill>
              <a:effectLst/>
              <a:latin typeface="Courier New" panose="02070309020205020404" pitchFamily="49" charset="0"/>
              <a:ea typeface="+mn-ea"/>
              <a:cs typeface="Courier New" panose="02070309020205020404" pitchFamily="49" charset="0"/>
            </a:rPr>
            <a:t>                             5         4  Non Hispanic Other</a:t>
          </a:r>
        </a:p>
        <a:p>
          <a:r>
            <a:rPr lang="en-US" sz="800">
              <a:solidFill>
                <a:schemeClr val="dk1"/>
              </a:solidFill>
              <a:effectLst/>
              <a:latin typeface="Courier New" panose="02070309020205020404" pitchFamily="49" charset="0"/>
              <a:ea typeface="+mn-ea"/>
              <a:cs typeface="Courier New" panose="02070309020205020404" pitchFamily="49" charset="0"/>
            </a:rPr>
            <a:t>                             5         5  White non Hispanic</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test 2.endogamy_diagonal_cat-5.endogamy_diagonal_cat=0</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( 1)  [count]2.endogamy_diagonal_cat - [count]5.endogamy_diagonal_cat = 0</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chi2(  1) =  492.45</a:t>
          </a:r>
        </a:p>
        <a:p>
          <a:r>
            <a:rPr lang="en-US" sz="800">
              <a:solidFill>
                <a:schemeClr val="dk1"/>
              </a:solidFill>
              <a:effectLst/>
              <a:latin typeface="Courier New" panose="02070309020205020404" pitchFamily="49" charset="0"/>
              <a:ea typeface="+mn-ea"/>
              <a:cs typeface="Courier New" panose="02070309020205020404" pitchFamily="49" charset="0"/>
            </a:rPr>
            <a:t>         Prob &gt; chi2 =    0.0000</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lincom 2.endogamy_diagonal_cat-5.endogamy_diagonal_cat</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( 1)  [count]2.endogamy_diagonal_cat - [count]5.endogamy_diagonal_cat = 0</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       count |      Coef.   Std. Err.      z    P&gt;|z|     [95% Conf. Interval]</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         (1) |   .8347328   .0376155    22.19   0.000     .7610076    .9084579</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predict quasi_indep_model</a:t>
          </a:r>
        </a:p>
        <a:p>
          <a:r>
            <a:rPr lang="en-US" sz="800">
              <a:solidFill>
                <a:schemeClr val="dk1"/>
              </a:solidFill>
              <a:effectLst/>
              <a:latin typeface="Courier New" panose="02070309020205020404" pitchFamily="49" charset="0"/>
              <a:ea typeface="+mn-ea"/>
              <a:cs typeface="Courier New" panose="02070309020205020404" pitchFamily="49" charset="0"/>
            </a:rPr>
            <a:t>(option n assumed; predicted number of events)</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gen ID_quasi_indep=(50/649821)*(abs(count- quasi_indep_model ))</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table meth_num feth_num, contents (sum ID_quasi_indep ) row col cellwidth(10)</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husband's           |                         wife's race/ethnicity                         </a:t>
          </a:r>
        </a:p>
        <a:p>
          <a:r>
            <a:rPr lang="en-US" sz="800">
              <a:solidFill>
                <a:schemeClr val="dk1"/>
              </a:solidFill>
              <a:effectLst/>
              <a:latin typeface="Courier New" panose="02070309020205020404" pitchFamily="49" charset="0"/>
              <a:ea typeface="+mn-ea"/>
              <a:cs typeface="Courier New" panose="02070309020205020404" pitchFamily="49" charset="0"/>
            </a:rPr>
            <a:t>race/ethnicity      | Black, non  Mexican Am  Hispanic O  Non Hispan  White non        Total</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Black, non Hispanic |          0    .0012956    .0140117    .0098736    .0251809    .0503618</a:t>
          </a:r>
        </a:p>
        <a:p>
          <a:r>
            <a:rPr lang="en-US" sz="800">
              <a:solidFill>
                <a:schemeClr val="dk1"/>
              </a:solidFill>
              <a:effectLst/>
              <a:latin typeface="Courier New" panose="02070309020205020404" pitchFamily="49" charset="0"/>
              <a:ea typeface="+mn-ea"/>
              <a:cs typeface="Courier New" panose="02070309020205020404" pitchFamily="49" charset="0"/>
            </a:rPr>
            <a:t>   Mexican American |   .0010935           0    .0035827    .0167726    .0142835    .0357322</a:t>
          </a:r>
        </a:p>
        <a:p>
          <a:r>
            <a:rPr lang="en-US" sz="800">
              <a:solidFill>
                <a:schemeClr val="dk1"/>
              </a:solidFill>
              <a:effectLst/>
              <a:latin typeface="Courier New" panose="02070309020205020404" pitchFamily="49" charset="0"/>
              <a:ea typeface="+mn-ea"/>
              <a:cs typeface="Courier New" panose="02070309020205020404" pitchFamily="49" charset="0"/>
            </a:rPr>
            <a:t>     Hispanic Other |   .0173555     .008219           0    .0192346    .0063399     .051149</a:t>
          </a:r>
        </a:p>
        <a:p>
          <a:r>
            <a:rPr lang="en-US" sz="800">
              <a:solidFill>
                <a:schemeClr val="dk1"/>
              </a:solidFill>
              <a:effectLst/>
              <a:latin typeface="Courier New" panose="02070309020205020404" pitchFamily="49" charset="0"/>
              <a:ea typeface="+mn-ea"/>
              <a:cs typeface="Courier New" panose="02070309020205020404" pitchFamily="49" charset="0"/>
            </a:rPr>
            <a:t> Non Hispanic Other |   .0024838    .0085578    .0111633           0    .0172374    .0394423</a:t>
          </a:r>
        </a:p>
        <a:p>
          <a:r>
            <a:rPr lang="en-US" sz="800">
              <a:solidFill>
                <a:schemeClr val="dk1"/>
              </a:solidFill>
              <a:effectLst/>
              <a:latin typeface="Courier New" panose="02070309020205020404" pitchFamily="49" charset="0"/>
              <a:ea typeface="+mn-ea"/>
              <a:cs typeface="Courier New" panose="02070309020205020404" pitchFamily="49" charset="0"/>
            </a:rPr>
            <a:t> White non Hispanic |   .0187457    .0009568    .0064311    .0261336           0    .0522672</a:t>
          </a:r>
        </a:p>
        <a:p>
          <a:r>
            <a:rPr lang="en-US" sz="800">
              <a:solidFill>
                <a:schemeClr val="dk1"/>
              </a:solidFill>
              <a:effectLst/>
              <a:latin typeface="Courier New" panose="02070309020205020404" pitchFamily="49" charset="0"/>
              <a:ea typeface="+mn-ea"/>
              <a:cs typeface="Courier New" panose="02070309020205020404" pitchFamily="49" charset="0"/>
            </a:rPr>
            <a:t>                    | </a:t>
          </a:r>
        </a:p>
        <a:p>
          <a:r>
            <a:rPr lang="en-US" sz="800">
              <a:solidFill>
                <a:schemeClr val="dk1"/>
              </a:solidFill>
              <a:effectLst/>
              <a:latin typeface="Courier New" panose="02070309020205020404" pitchFamily="49" charset="0"/>
              <a:ea typeface="+mn-ea"/>
              <a:cs typeface="Courier New" panose="02070309020205020404" pitchFamily="49" charset="0"/>
            </a:rPr>
            <a:t>              Total |   .0396785    .0190292    .0351888    .0720144    .0630417    .2289526</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 Now we are down to an ID of 0.2% This model fits very well, but because sample size is so large, the likelihood ratio test for goodness of fit still rejects it. We need more terms to fit the off diagonal cells.</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table meth_num feth_num, contents (sum count sum quasi_indep_model ) row col cellwidth(10)</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husband's           |                         wife's race/ethnicity                         </a:t>
          </a:r>
        </a:p>
        <a:p>
          <a:r>
            <a:rPr lang="en-US" sz="800">
              <a:solidFill>
                <a:schemeClr val="dk1"/>
              </a:solidFill>
              <a:effectLst/>
              <a:latin typeface="Courier New" panose="02070309020205020404" pitchFamily="49" charset="0"/>
              <a:ea typeface="+mn-ea"/>
              <a:cs typeface="Courier New" panose="02070309020205020404" pitchFamily="49" charset="0"/>
            </a:rPr>
            <a:t>race/ethnicity      | Black, non  Mexican Am  Hispanic O  Non Hispan  White non        Total</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Black, non Hispanic |      42521         291         412         393        2064       45681</a:t>
          </a:r>
        </a:p>
        <a:p>
          <a:r>
            <a:rPr lang="en-US" sz="800">
              <a:solidFill>
                <a:schemeClr val="dk1"/>
              </a:solidFill>
              <a:effectLst/>
              <a:latin typeface="Courier New" panose="02070309020205020404" pitchFamily="49" charset="0"/>
              <a:ea typeface="+mn-ea"/>
              <a:cs typeface="Courier New" panose="02070309020205020404" pitchFamily="49" charset="0"/>
            </a:rPr>
            <a:t>                    |      42521    274.1622    229.8974    264.6786    2391.262       45681</a:t>
          </a:r>
        </a:p>
        <a:p>
          <a:r>
            <a:rPr lang="en-US" sz="800">
              <a:solidFill>
                <a:schemeClr val="dk1"/>
              </a:solidFill>
              <a:effectLst/>
              <a:latin typeface="Courier New" panose="02070309020205020404" pitchFamily="49" charset="0"/>
              <a:ea typeface="+mn-ea"/>
              <a:cs typeface="Courier New" panose="02070309020205020404" pitchFamily="49" charset="0"/>
            </a:rPr>
            <a:t>                    | </a:t>
          </a:r>
        </a:p>
        <a:p>
          <a:r>
            <a:rPr lang="en-US" sz="800">
              <a:solidFill>
                <a:schemeClr val="dk1"/>
              </a:solidFill>
              <a:effectLst/>
              <a:latin typeface="Courier New" panose="02070309020205020404" pitchFamily="49" charset="0"/>
              <a:ea typeface="+mn-ea"/>
              <a:cs typeface="Courier New" panose="02070309020205020404" pitchFamily="49" charset="0"/>
            </a:rPr>
            <a:t>   Mexican American |         94       18088         612         433        6067       25294</a:t>
          </a:r>
        </a:p>
        <a:p>
          <a:r>
            <a:rPr lang="en-US" sz="800">
              <a:solidFill>
                <a:schemeClr val="dk1"/>
              </a:solidFill>
              <a:effectLst/>
              <a:latin typeface="Courier New" panose="02070309020205020404" pitchFamily="49" charset="0"/>
              <a:ea typeface="+mn-ea"/>
              <a:cs typeface="Courier New" panose="02070309020205020404" pitchFamily="49" charset="0"/>
            </a:rPr>
            <a:t>                    |   108.2118       18088    565.4383    650.9836    5881.366       25294</a:t>
          </a:r>
        </a:p>
        <a:p>
          <a:r>
            <a:rPr lang="en-US" sz="800">
              <a:solidFill>
                <a:schemeClr val="dk1"/>
              </a:solidFill>
              <a:effectLst/>
              <a:latin typeface="Courier New" panose="02070309020205020404" pitchFamily="49" charset="0"/>
              <a:ea typeface="+mn-ea"/>
              <a:cs typeface="Courier New" panose="02070309020205020404" pitchFamily="49" charset="0"/>
            </a:rPr>
            <a:t>                    | </a:t>
          </a:r>
        </a:p>
        <a:p>
          <a:r>
            <a:rPr lang="en-US" sz="800">
              <a:solidFill>
                <a:schemeClr val="dk1"/>
              </a:solidFill>
              <a:effectLst/>
              <a:latin typeface="Courier New" panose="02070309020205020404" pitchFamily="49" charset="0"/>
              <a:ea typeface="+mn-ea"/>
              <a:cs typeface="Courier New" panose="02070309020205020404" pitchFamily="49" charset="0"/>
            </a:rPr>
            <a:t>     Hispanic Other |        310         633        5901         258        4507       11609</a:t>
          </a:r>
        </a:p>
        <a:p>
          <a:r>
            <a:rPr lang="en-US" sz="800">
              <a:solidFill>
                <a:schemeClr val="dk1"/>
              </a:solidFill>
              <a:effectLst/>
              <a:latin typeface="Courier New" panose="02070309020205020404" pitchFamily="49" charset="0"/>
              <a:ea typeface="+mn-ea"/>
              <a:cs typeface="Courier New" panose="02070309020205020404" pitchFamily="49" charset="0"/>
            </a:rPr>
            <a:t>                    |   84.44069    526.1821        5901    507.9809    4589.396       11609</a:t>
          </a:r>
        </a:p>
        <a:p>
          <a:r>
            <a:rPr lang="en-US" sz="800">
              <a:solidFill>
                <a:schemeClr val="dk1"/>
              </a:solidFill>
              <a:effectLst/>
              <a:latin typeface="Courier New" panose="02070309020205020404" pitchFamily="49" charset="0"/>
              <a:ea typeface="+mn-ea"/>
              <a:cs typeface="Courier New" panose="02070309020205020404" pitchFamily="49" charset="0"/>
            </a:rPr>
            <a:t>                    | </a:t>
          </a:r>
        </a:p>
        <a:p>
          <a:r>
            <a:rPr lang="en-US" sz="800">
              <a:solidFill>
                <a:schemeClr val="dk1"/>
              </a:solidFill>
              <a:effectLst/>
              <a:latin typeface="Courier New" panose="02070309020205020404" pitchFamily="49" charset="0"/>
              <a:ea typeface="+mn-ea"/>
              <a:cs typeface="Courier New" panose="02070309020205020404" pitchFamily="49" charset="0"/>
            </a:rPr>
            <a:t> Non Hispanic Other |        101         317         214        3509        3959        8100</a:t>
          </a:r>
        </a:p>
        <a:p>
          <a:r>
            <a:rPr lang="en-US" sz="800">
              <a:solidFill>
                <a:schemeClr val="dk1"/>
              </a:solidFill>
              <a:effectLst/>
              <a:latin typeface="Courier New" panose="02070309020205020404" pitchFamily="49" charset="0"/>
              <a:ea typeface="+mn-ea"/>
              <a:cs typeface="Courier New" panose="02070309020205020404" pitchFamily="49" charset="0"/>
            </a:rPr>
            <a:t>                    |   68.72013    428.2213    359.0829        3509    3734.976        8100</a:t>
          </a:r>
        </a:p>
        <a:p>
          <a:r>
            <a:rPr lang="en-US" sz="800">
              <a:solidFill>
                <a:schemeClr val="dk1"/>
              </a:solidFill>
              <a:effectLst/>
              <a:latin typeface="Courier New" panose="02070309020205020404" pitchFamily="49" charset="0"/>
              <a:ea typeface="+mn-ea"/>
              <a:cs typeface="Courier New" panose="02070309020205020404" pitchFamily="49" charset="0"/>
            </a:rPr>
            <a:t>                    | </a:t>
          </a:r>
        </a:p>
        <a:p>
          <a:r>
            <a:rPr lang="en-US" sz="800">
              <a:solidFill>
                <a:schemeClr val="dk1"/>
              </a:solidFill>
              <a:effectLst/>
              <a:latin typeface="Courier New" panose="02070309020205020404" pitchFamily="49" charset="0"/>
              <a:ea typeface="+mn-ea"/>
              <a:cs typeface="Courier New" panose="02070309020205020404" pitchFamily="49" charset="0"/>
            </a:rPr>
            <a:t> White non Hispanic |        615        5338        4403        5505      543276      559137</a:t>
          </a:r>
        </a:p>
        <a:p>
          <a:r>
            <a:rPr lang="en-US" sz="800">
              <a:solidFill>
                <a:schemeClr val="dk1"/>
              </a:solidFill>
              <a:effectLst/>
              <a:latin typeface="Courier New" panose="02070309020205020404" pitchFamily="49" charset="0"/>
              <a:ea typeface="+mn-ea"/>
              <a:cs typeface="Courier New" panose="02070309020205020404" pitchFamily="49" charset="0"/>
            </a:rPr>
            <a:t>                    |   858.6274    5350.435    4486.582    5165.357      543276      559137</a:t>
          </a:r>
        </a:p>
        <a:p>
          <a:r>
            <a:rPr lang="en-US" sz="800">
              <a:solidFill>
                <a:schemeClr val="dk1"/>
              </a:solidFill>
              <a:effectLst/>
              <a:latin typeface="Courier New" panose="02070309020205020404" pitchFamily="49" charset="0"/>
              <a:ea typeface="+mn-ea"/>
              <a:cs typeface="Courier New" panose="02070309020205020404" pitchFamily="49" charset="0"/>
            </a:rPr>
            <a:t>                    | </a:t>
          </a:r>
        </a:p>
        <a:p>
          <a:r>
            <a:rPr lang="en-US" sz="800">
              <a:solidFill>
                <a:schemeClr val="dk1"/>
              </a:solidFill>
              <a:effectLst/>
              <a:latin typeface="Courier New" panose="02070309020205020404" pitchFamily="49" charset="0"/>
              <a:ea typeface="+mn-ea"/>
              <a:cs typeface="Courier New" panose="02070309020205020404" pitchFamily="49" charset="0"/>
            </a:rPr>
            <a:t>              Total |      43641       24667       11542       10098      559873      649821</a:t>
          </a:r>
        </a:p>
        <a:p>
          <a:r>
            <a:rPr lang="en-US" sz="800">
              <a:solidFill>
                <a:schemeClr val="dk1"/>
              </a:solidFill>
              <a:effectLst/>
              <a:latin typeface="Courier New" panose="02070309020205020404" pitchFamily="49" charset="0"/>
              <a:ea typeface="+mn-ea"/>
              <a:cs typeface="Courier New" panose="02070309020205020404" pitchFamily="49" charset="0"/>
            </a:rPr>
            <a:t>                    |      43641       24667       11542       10098      559873      649821</a:t>
          </a:r>
        </a:p>
        <a:p>
          <a:r>
            <a:rPr lang="en-US" sz="800">
              <a:solidFill>
                <a:schemeClr val="dk1"/>
              </a:solidFill>
              <a:effectLst/>
              <a:latin typeface="Courier New" panose="02070309020205020404" pitchFamily="49" charset="0"/>
              <a:ea typeface="+mn-ea"/>
              <a:cs typeface="Courier New" panose="02070309020205020404" pitchFamily="49" charset="0"/>
            </a:rPr>
            <a:t>--------------------------------------------------------------------------------------------</a:t>
          </a:r>
        </a:p>
        <a:p>
          <a:r>
            <a:rPr lang="en-US" sz="800">
              <a:solidFill>
                <a:schemeClr val="dk1"/>
              </a:solidFill>
              <a:effectLst/>
              <a:latin typeface="Courier New" panose="02070309020205020404" pitchFamily="49" charset="0"/>
              <a:ea typeface="+mn-ea"/>
              <a:cs typeface="Courier New" panose="02070309020205020404" pitchFamily="49" charset="0"/>
            </a:rPr>
            <a:t> </a:t>
          </a:r>
        </a:p>
        <a:p>
          <a:r>
            <a:rPr lang="en-US" sz="800">
              <a:solidFill>
                <a:schemeClr val="dk1"/>
              </a:solidFill>
              <a:effectLst/>
              <a:latin typeface="Courier New" panose="02070309020205020404" pitchFamily="49" charset="0"/>
              <a:ea typeface="+mn-ea"/>
              <a:cs typeface="Courier New" panose="02070309020205020404" pitchFamily="49" charset="0"/>
            </a:rPr>
            <a:t>. save "C:\Users\mexmi\Downloads\five cat intermar data US 3 decades.dta", replace</a:t>
          </a:r>
        </a:p>
        <a:p>
          <a:r>
            <a:rPr lang="en-US" sz="800">
              <a:solidFill>
                <a:schemeClr val="dk1"/>
              </a:solidFill>
              <a:effectLst/>
              <a:latin typeface="Courier New" panose="02070309020205020404" pitchFamily="49" charset="0"/>
              <a:ea typeface="+mn-ea"/>
              <a:cs typeface="Courier New" panose="02070309020205020404" pitchFamily="49" charset="0"/>
            </a:rPr>
            <a:t>file C:\Users\mexmi\Downloads\five cat intermar data US 3 decades.dta saved</a:t>
          </a:r>
        </a:p>
        <a:p>
          <a:endParaRPr lang="en-US" sz="800">
            <a:latin typeface="Courier New" panose="02070309020205020404" pitchFamily="49" charset="0"/>
            <a:cs typeface="Courier New" panose="02070309020205020404" pitchFamily="49" charset="0"/>
          </a:endParaRPr>
        </a:p>
        <a:p>
          <a:endParaRPr lang="en-US" sz="800">
            <a:latin typeface="Courier New" panose="02070309020205020404" pitchFamily="49" charset="0"/>
            <a:cs typeface="Courier New" panose="02070309020205020404" pitchFamily="49" charset="0"/>
          </a:endParaRPr>
        </a:p>
        <a:p>
          <a:endParaRPr lang="en-US" sz="800">
            <a:latin typeface="Courier New" panose="02070309020205020404" pitchFamily="49" charset="0"/>
            <a:cs typeface="Courier New" panose="02070309020205020404" pitchFamily="49" charset="0"/>
          </a:endParaRPr>
        </a:p>
        <a:p>
          <a:endParaRPr lang="en-US" sz="800">
            <a:latin typeface="Courier New" panose="02070309020205020404" pitchFamily="49" charset="0"/>
            <a:cs typeface="Courier New" panose="02070309020205020404" pitchFamily="49" charset="0"/>
          </a:endParaRPr>
        </a:p>
        <a:p>
          <a:endParaRPr lang="en-US" sz="800">
            <a:latin typeface="Courier New" panose="02070309020205020404" pitchFamily="49" charset="0"/>
            <a:cs typeface="Courier New" panose="02070309020205020404" pitchFamily="49" charset="0"/>
          </a:endParaRPr>
        </a:p>
        <a:p>
          <a:endParaRPr lang="en-US" sz="800">
            <a:latin typeface="Courier New" panose="02070309020205020404" pitchFamily="49" charset="0"/>
            <a:cs typeface="Courier New" panose="02070309020205020404" pitchFamily="49" charset="0"/>
          </a:endParaRPr>
        </a:p>
        <a:p>
          <a:endParaRPr lang="en-US" sz="800">
            <a:latin typeface="Courier New" panose="02070309020205020404" pitchFamily="49" charset="0"/>
            <a:cs typeface="Courier New" panose="02070309020205020404" pitchFamily="49" charset="0"/>
          </a:endParaRPr>
        </a:p>
        <a:p>
          <a:endParaRPr lang="en-US" sz="800">
            <a:latin typeface="Courier New" panose="02070309020205020404" pitchFamily="49" charset="0"/>
            <a:cs typeface="Courier New" panose="02070309020205020404" pitchFamily="49" charset="0"/>
          </a:endParaRPr>
        </a:p>
      </xdr:txBody>
    </xdr:sp>
    <xdr:clientData/>
  </xdr:oneCellAnchor>
  <xdr:oneCellAnchor>
    <xdr:from>
      <xdr:col>18</xdr:col>
      <xdr:colOff>304799</xdr:colOff>
      <xdr:row>26</xdr:row>
      <xdr:rowOff>53340</xdr:rowOff>
    </xdr:from>
    <xdr:ext cx="8258175" cy="17489403"/>
    <xdr:sp macro="" textlink="">
      <xdr:nvSpPr>
        <xdr:cNvPr id="3" name="TextBox 2"/>
        <xdr:cNvSpPr txBox="1"/>
      </xdr:nvSpPr>
      <xdr:spPr>
        <a:xfrm>
          <a:off x="12163424" y="4625340"/>
          <a:ext cx="8258175" cy="1748940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lang="en-US" sz="900" smtClean="0">
              <a:solidFill>
                <a:schemeClr val="dk1"/>
              </a:solidFill>
              <a:latin typeface="Courier New" panose="02070309020205020404" pitchFamily="49" charset="0"/>
              <a:ea typeface="+mn-ea"/>
              <a:cs typeface="Courier New" panose="02070309020205020404" pitchFamily="49" charset="0"/>
            </a:rPr>
            <a:t>LEM: log-linear and event history analysis with missing data.</a:t>
          </a:r>
        </a:p>
        <a:p>
          <a:r>
            <a:rPr lang="en-US" sz="900" smtClean="0">
              <a:solidFill>
                <a:schemeClr val="dk1"/>
              </a:solidFill>
              <a:latin typeface="Courier New" panose="02070309020205020404" pitchFamily="49" charset="0"/>
              <a:ea typeface="+mn-ea"/>
              <a:cs typeface="Courier New" panose="02070309020205020404" pitchFamily="49" charset="0"/>
            </a:rPr>
            <a:t>Developed by Jeroen Vermunt (c), Tilburg University, The Netherlands.</a:t>
          </a:r>
        </a:p>
        <a:p>
          <a:r>
            <a:rPr lang="en-US" sz="900" smtClean="0">
              <a:solidFill>
                <a:schemeClr val="dk1"/>
              </a:solidFill>
              <a:latin typeface="Courier New" panose="02070309020205020404" pitchFamily="49" charset="0"/>
              <a:ea typeface="+mn-ea"/>
              <a:cs typeface="Courier New" panose="02070309020205020404" pitchFamily="49" charset="0"/>
            </a:rPr>
            <a:t>Version 1.0 (September 18, 1997).</a:t>
          </a:r>
        </a:p>
        <a:p>
          <a:endParaRPr lang="en-US" sz="900" smtClean="0">
            <a:solidFill>
              <a:schemeClr val="dk1"/>
            </a:solidFill>
            <a:latin typeface="Courier New" panose="02070309020205020404" pitchFamily="49" charset="0"/>
            <a:ea typeface="+mn-ea"/>
            <a:cs typeface="Courier New" panose="02070309020205020404" pitchFamily="49" charset="0"/>
          </a:endParaRPr>
        </a:p>
        <a:p>
          <a:endParaRPr lang="en-US" sz="900" smtClean="0">
            <a:solidFill>
              <a:schemeClr val="dk1"/>
            </a:solidFill>
            <a:latin typeface="Courier New" panose="02070309020205020404" pitchFamily="49" charset="0"/>
            <a:ea typeface="+mn-ea"/>
            <a:cs typeface="Courier New" panose="02070309020205020404" pitchFamily="49" charset="0"/>
          </a:endParaRPr>
        </a:p>
        <a:p>
          <a:r>
            <a:rPr lang="en-US" sz="900" smtClean="0">
              <a:solidFill>
                <a:schemeClr val="dk1"/>
              </a:solidFill>
              <a:latin typeface="Courier New" panose="02070309020205020404" pitchFamily="49" charset="0"/>
              <a:ea typeface="+mn-ea"/>
              <a:cs typeface="Courier New" panose="02070309020205020404" pitchFamily="49" charset="0"/>
            </a:rPr>
            <a:t>*** INPUT ***</a:t>
          </a:r>
        </a:p>
        <a:p>
          <a:endParaRPr lang="en-US" sz="900" smtClean="0">
            <a:solidFill>
              <a:schemeClr val="dk1"/>
            </a:solidFill>
            <a:latin typeface="Courier New" panose="02070309020205020404" pitchFamily="49" charset="0"/>
            <a:ea typeface="+mn-ea"/>
            <a:cs typeface="Courier New" panose="02070309020205020404" pitchFamily="49" charset="0"/>
          </a:endParaRPr>
        </a:p>
        <a:p>
          <a:r>
            <a:rPr lang="en-US" sz="900" smtClean="0">
              <a:solidFill>
                <a:schemeClr val="dk1"/>
              </a:solidFill>
              <a:latin typeface="Courier New" panose="02070309020205020404" pitchFamily="49" charset="0"/>
              <a:ea typeface="+mn-ea"/>
              <a:cs typeface="Courier New" panose="02070309020205020404" pitchFamily="49" charset="0"/>
            </a:rPr>
            <a:t>  man 2</a:t>
          </a:r>
        </a:p>
        <a:p>
          <a:r>
            <a:rPr lang="en-US" sz="900" smtClean="0">
              <a:solidFill>
                <a:schemeClr val="dk1"/>
              </a:solidFill>
              <a:latin typeface="Courier New" panose="02070309020205020404" pitchFamily="49" charset="0"/>
              <a:ea typeface="+mn-ea"/>
              <a:cs typeface="Courier New" panose="02070309020205020404" pitchFamily="49" charset="0"/>
            </a:rPr>
            <a:t>  dim 5 5</a:t>
          </a:r>
        </a:p>
        <a:p>
          <a:r>
            <a:rPr lang="en-US" sz="900" smtClean="0">
              <a:solidFill>
                <a:schemeClr val="dk1"/>
              </a:solidFill>
              <a:latin typeface="Courier New" panose="02070309020205020404" pitchFamily="49" charset="0"/>
              <a:ea typeface="+mn-ea"/>
              <a:cs typeface="Courier New" panose="02070309020205020404" pitchFamily="49" charset="0"/>
            </a:rPr>
            <a:t>  label M F</a:t>
          </a:r>
        </a:p>
        <a:p>
          <a:r>
            <a:rPr lang="en-US" sz="900" smtClean="0">
              <a:solidFill>
                <a:schemeClr val="dk1"/>
              </a:solidFill>
              <a:latin typeface="Courier New" panose="02070309020205020404" pitchFamily="49" charset="0"/>
              <a:ea typeface="+mn-ea"/>
              <a:cs typeface="Courier New" panose="02070309020205020404" pitchFamily="49" charset="0"/>
            </a:rPr>
            <a:t>  mod {M,F,ass2(M,F,5a)}</a:t>
          </a:r>
        </a:p>
        <a:p>
          <a:r>
            <a:rPr lang="en-US" sz="900" smtClean="0">
              <a:solidFill>
                <a:schemeClr val="dk1"/>
              </a:solidFill>
              <a:latin typeface="Courier New" panose="02070309020205020404" pitchFamily="49" charset="0"/>
              <a:ea typeface="+mn-ea"/>
              <a:cs typeface="Courier New" panose="02070309020205020404" pitchFamily="49" charset="0"/>
            </a:rPr>
            <a:t>  dat [42521         291         412         393        2064</a:t>
          </a:r>
        </a:p>
        <a:p>
          <a:r>
            <a:rPr lang="en-US" sz="900" smtClean="0">
              <a:solidFill>
                <a:schemeClr val="dk1"/>
              </a:solidFill>
              <a:latin typeface="Courier New" panose="02070309020205020404" pitchFamily="49" charset="0"/>
              <a:ea typeface="+mn-ea"/>
              <a:cs typeface="Courier New" panose="02070309020205020404" pitchFamily="49" charset="0"/>
            </a:rPr>
            <a:t>    94       18088         612         433        6067 </a:t>
          </a:r>
        </a:p>
        <a:p>
          <a:r>
            <a:rPr lang="en-US" sz="900" smtClean="0">
              <a:solidFill>
                <a:schemeClr val="dk1"/>
              </a:solidFill>
              <a:latin typeface="Courier New" panose="02070309020205020404" pitchFamily="49" charset="0"/>
              <a:ea typeface="+mn-ea"/>
              <a:cs typeface="Courier New" panose="02070309020205020404" pitchFamily="49" charset="0"/>
            </a:rPr>
            <a:t>  310         633        5901         258        4507 </a:t>
          </a:r>
        </a:p>
        <a:p>
          <a:r>
            <a:rPr lang="en-US" sz="900" smtClean="0">
              <a:solidFill>
                <a:schemeClr val="dk1"/>
              </a:solidFill>
              <a:latin typeface="Courier New" panose="02070309020205020404" pitchFamily="49" charset="0"/>
              <a:ea typeface="+mn-ea"/>
              <a:cs typeface="Courier New" panose="02070309020205020404" pitchFamily="49" charset="0"/>
            </a:rPr>
            <a:t>  101         317         214        3509        3959        </a:t>
          </a:r>
        </a:p>
        <a:p>
          <a:r>
            <a:rPr lang="en-US" sz="900" smtClean="0">
              <a:solidFill>
                <a:schemeClr val="dk1"/>
              </a:solidFill>
              <a:latin typeface="Courier New" panose="02070309020205020404" pitchFamily="49" charset="0"/>
              <a:ea typeface="+mn-ea"/>
              <a:cs typeface="Courier New" panose="02070309020205020404" pitchFamily="49" charset="0"/>
            </a:rPr>
            <a:t>  615        5338        4403        5505      543276 ]</a:t>
          </a:r>
        </a:p>
        <a:p>
          <a:r>
            <a:rPr lang="en-US" sz="900" smtClean="0">
              <a:solidFill>
                <a:schemeClr val="dk1"/>
              </a:solidFill>
              <a:latin typeface="Courier New" panose="02070309020205020404" pitchFamily="49" charset="0"/>
              <a:ea typeface="+mn-ea"/>
              <a:cs typeface="Courier New" panose="02070309020205020404" pitchFamily="49" charset="0"/>
            </a:rPr>
            <a:t>  </a:t>
          </a:r>
        </a:p>
        <a:p>
          <a:r>
            <a:rPr lang="en-US" sz="900" smtClean="0">
              <a:solidFill>
                <a:schemeClr val="dk1"/>
              </a:solidFill>
              <a:latin typeface="Courier New" panose="02070309020205020404" pitchFamily="49" charset="0"/>
              <a:ea typeface="+mn-ea"/>
              <a:cs typeface="Courier New" panose="02070309020205020404" pitchFamily="49" charset="0"/>
            </a:rPr>
            <a:t>   </a:t>
          </a:r>
        </a:p>
        <a:p>
          <a:endParaRPr lang="en-US" sz="900" smtClean="0">
            <a:solidFill>
              <a:schemeClr val="dk1"/>
            </a:solidFill>
            <a:latin typeface="Courier New" panose="02070309020205020404" pitchFamily="49" charset="0"/>
            <a:ea typeface="+mn-ea"/>
            <a:cs typeface="Courier New" panose="02070309020205020404" pitchFamily="49" charset="0"/>
          </a:endParaRPr>
        </a:p>
        <a:p>
          <a:endParaRPr lang="en-US" sz="900" smtClean="0">
            <a:solidFill>
              <a:schemeClr val="dk1"/>
            </a:solidFill>
            <a:latin typeface="Courier New" panose="02070309020205020404" pitchFamily="49" charset="0"/>
            <a:ea typeface="+mn-ea"/>
            <a:cs typeface="Courier New" panose="02070309020205020404" pitchFamily="49" charset="0"/>
          </a:endParaRPr>
        </a:p>
        <a:p>
          <a:r>
            <a:rPr lang="en-US" sz="900" smtClean="0">
              <a:solidFill>
                <a:schemeClr val="dk1"/>
              </a:solidFill>
              <a:latin typeface="Courier New" panose="02070309020205020404" pitchFamily="49" charset="0"/>
              <a:ea typeface="+mn-ea"/>
              <a:cs typeface="Courier New" panose="02070309020205020404" pitchFamily="49" charset="0"/>
            </a:rPr>
            <a:t>*** STATISTICS ***</a:t>
          </a:r>
        </a:p>
        <a:p>
          <a:endParaRPr lang="en-US" sz="900" smtClean="0">
            <a:solidFill>
              <a:schemeClr val="dk1"/>
            </a:solidFill>
            <a:latin typeface="Courier New" panose="02070309020205020404" pitchFamily="49" charset="0"/>
            <a:ea typeface="+mn-ea"/>
            <a:cs typeface="Courier New" panose="02070309020205020404" pitchFamily="49" charset="0"/>
          </a:endParaRPr>
        </a:p>
        <a:p>
          <a:r>
            <a:rPr lang="en-US" sz="900" smtClean="0">
              <a:solidFill>
                <a:schemeClr val="dk1"/>
              </a:solidFill>
              <a:latin typeface="Courier New" panose="02070309020205020404" pitchFamily="49" charset="0"/>
              <a:ea typeface="+mn-ea"/>
              <a:cs typeface="Courier New" panose="02070309020205020404" pitchFamily="49" charset="0"/>
            </a:rPr>
            <a:t>  Number of iterations = 1554</a:t>
          </a:r>
        </a:p>
        <a:p>
          <a:r>
            <a:rPr lang="en-US" sz="900" smtClean="0">
              <a:solidFill>
                <a:schemeClr val="dk1"/>
              </a:solidFill>
              <a:latin typeface="Courier New" panose="02070309020205020404" pitchFamily="49" charset="0"/>
              <a:ea typeface="+mn-ea"/>
              <a:cs typeface="Courier New" panose="02070309020205020404" pitchFamily="49" charset="0"/>
            </a:rPr>
            <a:t>  Converge criterion   = 0.0000009949</a:t>
          </a:r>
        </a:p>
        <a:p>
          <a:endParaRPr lang="en-US" sz="900" smtClean="0">
            <a:solidFill>
              <a:schemeClr val="dk1"/>
            </a:solidFill>
            <a:latin typeface="Courier New" panose="02070309020205020404" pitchFamily="49" charset="0"/>
            <a:ea typeface="+mn-ea"/>
            <a:cs typeface="Courier New" panose="02070309020205020404" pitchFamily="49" charset="0"/>
          </a:endParaRPr>
        </a:p>
        <a:p>
          <a:r>
            <a:rPr lang="en-US" sz="900" smtClean="0">
              <a:solidFill>
                <a:schemeClr val="dk1"/>
              </a:solidFill>
              <a:latin typeface="Courier New" panose="02070309020205020404" pitchFamily="49" charset="0"/>
              <a:ea typeface="+mn-ea"/>
              <a:cs typeface="Courier New" panose="02070309020205020404" pitchFamily="49" charset="0"/>
            </a:rPr>
            <a:t>  X-squared            = 770854.6092 (0.0000)</a:t>
          </a:r>
        </a:p>
        <a:p>
          <a:r>
            <a:rPr lang="en-US" sz="900" smtClean="0">
              <a:solidFill>
                <a:schemeClr val="dk1"/>
              </a:solidFill>
              <a:latin typeface="Courier New" panose="02070309020205020404" pitchFamily="49" charset="0"/>
              <a:ea typeface="+mn-ea"/>
              <a:cs typeface="Courier New" panose="02070309020205020404" pitchFamily="49" charset="0"/>
            </a:rPr>
            <a:t>  L-squared            = 54795.5275 (0.0000)  [*This is the goodness of fit chisquare, actually, see my calculations</a:t>
          </a:r>
          <a:r>
            <a:rPr lang="en-US" sz="900" baseline="0" smtClean="0">
              <a:solidFill>
                <a:schemeClr val="dk1"/>
              </a:solidFill>
              <a:latin typeface="Courier New" panose="02070309020205020404" pitchFamily="49" charset="0"/>
              <a:ea typeface="+mn-ea"/>
              <a:cs typeface="Courier New" panose="02070309020205020404" pitchFamily="49" charset="0"/>
            </a:rPr>
            <a:t> on the right</a:t>
          </a:r>
          <a:r>
            <a:rPr lang="en-US" sz="900" smtClean="0">
              <a:solidFill>
                <a:schemeClr val="dk1"/>
              </a:solidFill>
              <a:latin typeface="Courier New" panose="02070309020205020404" pitchFamily="49" charset="0"/>
              <a:ea typeface="+mn-ea"/>
              <a:cs typeface="Courier New" panose="02070309020205020404" pitchFamily="49" charset="0"/>
            </a:rPr>
            <a:t>]</a:t>
          </a:r>
        </a:p>
        <a:p>
          <a:r>
            <a:rPr lang="en-US" sz="900" smtClean="0">
              <a:solidFill>
                <a:schemeClr val="dk1"/>
              </a:solidFill>
              <a:latin typeface="Courier New" panose="02070309020205020404" pitchFamily="49" charset="0"/>
              <a:ea typeface="+mn-ea"/>
              <a:cs typeface="Courier New" panose="02070309020205020404" pitchFamily="49" charset="0"/>
            </a:rPr>
            <a:t>  Cressie-Read         = 175615.1180 (0.0000)</a:t>
          </a:r>
        </a:p>
        <a:p>
          <a:r>
            <a:rPr lang="en-US" sz="900" smtClean="0">
              <a:solidFill>
                <a:schemeClr val="dk1"/>
              </a:solidFill>
              <a:latin typeface="Courier New" panose="02070309020205020404" pitchFamily="49" charset="0"/>
              <a:ea typeface="+mn-ea"/>
              <a:cs typeface="Courier New" panose="02070309020205020404" pitchFamily="49" charset="0"/>
            </a:rPr>
            <a:t>  Dissimilarity index  = 0.0318  [You need to multiply this ID by 100 to put it on the same scale as our other IDs]</a:t>
          </a:r>
        </a:p>
        <a:p>
          <a:r>
            <a:rPr lang="en-US" sz="900" smtClean="0">
              <a:solidFill>
                <a:schemeClr val="dk1"/>
              </a:solidFill>
              <a:latin typeface="Courier New" panose="02070309020205020404" pitchFamily="49" charset="0"/>
              <a:ea typeface="+mn-ea"/>
              <a:cs typeface="Courier New" panose="02070309020205020404" pitchFamily="49" charset="0"/>
            </a:rPr>
            <a:t>  Degrees of freedom   = 9</a:t>
          </a:r>
        </a:p>
        <a:p>
          <a:r>
            <a:rPr lang="en-US" sz="900" smtClean="0">
              <a:solidFill>
                <a:schemeClr val="dk1"/>
              </a:solidFill>
              <a:latin typeface="Courier New" panose="02070309020205020404" pitchFamily="49" charset="0"/>
              <a:ea typeface="+mn-ea"/>
              <a:cs typeface="Courier New" panose="02070309020205020404" pitchFamily="49" charset="0"/>
            </a:rPr>
            <a:t>  Log-likelihood       = -542724.06365  [*This log likelihood</a:t>
          </a:r>
          <a:r>
            <a:rPr lang="en-US" sz="900" baseline="0" smtClean="0">
              <a:solidFill>
                <a:schemeClr val="dk1"/>
              </a:solidFill>
              <a:latin typeface="Courier New" panose="02070309020205020404" pitchFamily="49" charset="0"/>
              <a:ea typeface="+mn-ea"/>
              <a:cs typeface="Courier New" panose="02070309020205020404" pitchFamily="49" charset="0"/>
            </a:rPr>
            <a:t> does not square with the log likelihood values of our other models]</a:t>
          </a:r>
          <a:endParaRPr lang="en-US" sz="900" smtClean="0">
            <a:solidFill>
              <a:schemeClr val="dk1"/>
            </a:solidFill>
            <a:latin typeface="Courier New" panose="02070309020205020404" pitchFamily="49" charset="0"/>
            <a:ea typeface="+mn-ea"/>
            <a:cs typeface="Courier New" panose="02070309020205020404" pitchFamily="49" charset="0"/>
          </a:endParaRPr>
        </a:p>
        <a:p>
          <a:r>
            <a:rPr lang="en-US" sz="900" smtClean="0">
              <a:solidFill>
                <a:schemeClr val="dk1"/>
              </a:solidFill>
              <a:latin typeface="Courier New" panose="02070309020205020404" pitchFamily="49" charset="0"/>
              <a:ea typeface="+mn-ea"/>
              <a:cs typeface="Courier New" panose="02070309020205020404" pitchFamily="49" charset="0"/>
            </a:rPr>
            <a:t>  Number of parameters = 15 (+1)</a:t>
          </a:r>
        </a:p>
        <a:p>
          <a:r>
            <a:rPr lang="en-US" sz="900" smtClean="0">
              <a:solidFill>
                <a:schemeClr val="dk1"/>
              </a:solidFill>
              <a:latin typeface="Courier New" panose="02070309020205020404" pitchFamily="49" charset="0"/>
              <a:ea typeface="+mn-ea"/>
              <a:cs typeface="Courier New" panose="02070309020205020404" pitchFamily="49" charset="0"/>
            </a:rPr>
            <a:t>  Sample size          = 649821.0</a:t>
          </a:r>
        </a:p>
        <a:p>
          <a:r>
            <a:rPr lang="en-US" sz="900" smtClean="0">
              <a:solidFill>
                <a:schemeClr val="dk1"/>
              </a:solidFill>
              <a:latin typeface="Courier New" panose="02070309020205020404" pitchFamily="49" charset="0"/>
              <a:ea typeface="+mn-ea"/>
              <a:cs typeface="Courier New" panose="02070309020205020404" pitchFamily="49" charset="0"/>
            </a:rPr>
            <a:t>  BIC(L-squared)       = 54675.0675 [This is a proper BIC compared to saturated model]</a:t>
          </a:r>
        </a:p>
        <a:p>
          <a:r>
            <a:rPr lang="en-US" sz="900" smtClean="0">
              <a:solidFill>
                <a:schemeClr val="dk1"/>
              </a:solidFill>
              <a:latin typeface="Courier New" panose="02070309020205020404" pitchFamily="49" charset="0"/>
              <a:ea typeface="+mn-ea"/>
              <a:cs typeface="Courier New" panose="02070309020205020404" pitchFamily="49" charset="0"/>
            </a:rPr>
            <a:t>  AIC(L-squared)       = 54777.5275</a:t>
          </a:r>
        </a:p>
        <a:p>
          <a:r>
            <a:rPr lang="en-US" sz="900" smtClean="0">
              <a:solidFill>
                <a:schemeClr val="dk1"/>
              </a:solidFill>
              <a:latin typeface="Courier New" panose="02070309020205020404" pitchFamily="49" charset="0"/>
              <a:ea typeface="+mn-ea"/>
              <a:cs typeface="Courier New" panose="02070309020205020404" pitchFamily="49" charset="0"/>
            </a:rPr>
            <a:t>  BIC(log-likelihood)  = 1085648.8941</a:t>
          </a:r>
        </a:p>
        <a:p>
          <a:r>
            <a:rPr lang="en-US" sz="900" smtClean="0">
              <a:solidFill>
                <a:schemeClr val="dk1"/>
              </a:solidFill>
              <a:latin typeface="Courier New" panose="02070309020205020404" pitchFamily="49" charset="0"/>
              <a:ea typeface="+mn-ea"/>
              <a:cs typeface="Courier New" panose="02070309020205020404" pitchFamily="49" charset="0"/>
            </a:rPr>
            <a:t>  AIC(log-likelihood)  = 1085478.1273</a:t>
          </a:r>
        </a:p>
        <a:p>
          <a:endParaRPr lang="en-US" sz="900" smtClean="0">
            <a:solidFill>
              <a:schemeClr val="dk1"/>
            </a:solidFill>
            <a:latin typeface="Courier New" panose="02070309020205020404" pitchFamily="49" charset="0"/>
            <a:ea typeface="+mn-ea"/>
            <a:cs typeface="Courier New" panose="02070309020205020404" pitchFamily="49" charset="0"/>
          </a:endParaRPr>
        </a:p>
        <a:p>
          <a:r>
            <a:rPr lang="en-US" sz="900" smtClean="0">
              <a:solidFill>
                <a:schemeClr val="dk1"/>
              </a:solidFill>
              <a:latin typeface="Courier New" panose="02070309020205020404" pitchFamily="49" charset="0"/>
              <a:ea typeface="+mn-ea"/>
              <a:cs typeface="Courier New" panose="02070309020205020404" pitchFamily="49" charset="0"/>
            </a:rPr>
            <a:t>WARNING: no information is provided on identification of parameters</a:t>
          </a:r>
        </a:p>
        <a:p>
          <a:endParaRPr lang="en-US" sz="900" smtClean="0">
            <a:solidFill>
              <a:schemeClr val="dk1"/>
            </a:solidFill>
            <a:latin typeface="Courier New" panose="02070309020205020404" pitchFamily="49" charset="0"/>
            <a:ea typeface="+mn-ea"/>
            <a:cs typeface="Courier New" panose="02070309020205020404" pitchFamily="49" charset="0"/>
          </a:endParaRPr>
        </a:p>
        <a:p>
          <a:endParaRPr lang="en-US" sz="900" smtClean="0">
            <a:solidFill>
              <a:schemeClr val="dk1"/>
            </a:solidFill>
            <a:latin typeface="Courier New" panose="02070309020205020404" pitchFamily="49" charset="0"/>
            <a:ea typeface="+mn-ea"/>
            <a:cs typeface="Courier New" panose="02070309020205020404" pitchFamily="49" charset="0"/>
          </a:endParaRPr>
        </a:p>
        <a:p>
          <a:endParaRPr lang="en-US" sz="900" smtClean="0">
            <a:solidFill>
              <a:schemeClr val="dk1"/>
            </a:solidFill>
            <a:latin typeface="Courier New" panose="02070309020205020404" pitchFamily="49" charset="0"/>
            <a:ea typeface="+mn-ea"/>
            <a:cs typeface="Courier New" panose="02070309020205020404" pitchFamily="49" charset="0"/>
          </a:endParaRPr>
        </a:p>
        <a:p>
          <a:r>
            <a:rPr lang="en-US" sz="900" smtClean="0">
              <a:solidFill>
                <a:schemeClr val="dk1"/>
              </a:solidFill>
              <a:latin typeface="Courier New" panose="02070309020205020404" pitchFamily="49" charset="0"/>
              <a:ea typeface="+mn-ea"/>
              <a:cs typeface="Courier New" panose="02070309020205020404" pitchFamily="49" charset="0"/>
            </a:rPr>
            <a:t>*** FREQUENCIES ***</a:t>
          </a:r>
        </a:p>
        <a:p>
          <a:endParaRPr lang="en-US" sz="900" smtClean="0">
            <a:solidFill>
              <a:schemeClr val="dk1"/>
            </a:solidFill>
            <a:latin typeface="Courier New" panose="02070309020205020404" pitchFamily="49" charset="0"/>
            <a:ea typeface="+mn-ea"/>
            <a:cs typeface="Courier New" panose="02070309020205020404" pitchFamily="49" charset="0"/>
          </a:endParaRPr>
        </a:p>
        <a:p>
          <a:r>
            <a:rPr lang="en-US" sz="900" smtClean="0">
              <a:solidFill>
                <a:schemeClr val="dk1"/>
              </a:solidFill>
              <a:latin typeface="Courier New" panose="02070309020205020404" pitchFamily="49" charset="0"/>
              <a:ea typeface="+mn-ea"/>
              <a:cs typeface="Courier New" panose="02070309020205020404" pitchFamily="49" charset="0"/>
            </a:rPr>
            <a:t>  M F     observed  estimated  std. res.</a:t>
          </a:r>
        </a:p>
        <a:p>
          <a:r>
            <a:rPr lang="en-US" sz="900" smtClean="0">
              <a:solidFill>
                <a:schemeClr val="dk1"/>
              </a:solidFill>
              <a:latin typeface="Courier New" panose="02070309020205020404" pitchFamily="49" charset="0"/>
              <a:ea typeface="+mn-ea"/>
              <a:cs typeface="Courier New" panose="02070309020205020404" pitchFamily="49" charset="0"/>
            </a:rPr>
            <a:t>  1 1   42521.000  41393.190      5.543</a:t>
          </a:r>
        </a:p>
        <a:p>
          <a:r>
            <a:rPr lang="en-US" sz="900" smtClean="0">
              <a:solidFill>
                <a:schemeClr val="dk1"/>
              </a:solidFill>
              <a:latin typeface="Courier New" panose="02070309020205020404" pitchFamily="49" charset="0"/>
              <a:ea typeface="+mn-ea"/>
              <a:cs typeface="Courier New" panose="02070309020205020404" pitchFamily="49" charset="0"/>
            </a:rPr>
            <a:t>  1 2     291.000   3068.856    -50.144</a:t>
          </a:r>
        </a:p>
        <a:p>
          <a:r>
            <a:rPr lang="en-US" sz="900" smtClean="0">
              <a:solidFill>
                <a:schemeClr val="dk1"/>
              </a:solidFill>
              <a:latin typeface="Courier New" panose="02070309020205020404" pitchFamily="49" charset="0"/>
              <a:ea typeface="+mn-ea"/>
              <a:cs typeface="Courier New" panose="02070309020205020404" pitchFamily="49" charset="0"/>
            </a:rPr>
            <a:t>  1 3     412.000    734.329    -11.895</a:t>
          </a:r>
        </a:p>
        <a:p>
          <a:r>
            <a:rPr lang="en-US" sz="900" smtClean="0">
              <a:solidFill>
                <a:schemeClr val="dk1"/>
              </a:solidFill>
              <a:latin typeface="Courier New" panose="02070309020205020404" pitchFamily="49" charset="0"/>
              <a:ea typeface="+mn-ea"/>
              <a:cs typeface="Courier New" panose="02070309020205020404" pitchFamily="49" charset="0"/>
            </a:rPr>
            <a:t>  1 4     393.000    296.818      5.583</a:t>
          </a:r>
        </a:p>
        <a:p>
          <a:r>
            <a:rPr lang="en-US" sz="900" smtClean="0">
              <a:solidFill>
                <a:schemeClr val="dk1"/>
              </a:solidFill>
              <a:latin typeface="Courier New" panose="02070309020205020404" pitchFamily="49" charset="0"/>
              <a:ea typeface="+mn-ea"/>
              <a:cs typeface="Courier New" panose="02070309020205020404" pitchFamily="49" charset="0"/>
            </a:rPr>
            <a:t>  1 5    2064.000    187.729    136.940</a:t>
          </a:r>
        </a:p>
        <a:p>
          <a:r>
            <a:rPr lang="en-US" sz="900" smtClean="0">
              <a:solidFill>
                <a:schemeClr val="dk1"/>
              </a:solidFill>
              <a:latin typeface="Courier New" panose="02070309020205020404" pitchFamily="49" charset="0"/>
              <a:ea typeface="+mn-ea"/>
              <a:cs typeface="Courier New" panose="02070309020205020404" pitchFamily="49" charset="0"/>
            </a:rPr>
            <a:t>  2 1      94.000   1866.160    -41.023</a:t>
          </a:r>
        </a:p>
        <a:p>
          <a:r>
            <a:rPr lang="en-US" sz="900" smtClean="0">
              <a:solidFill>
                <a:schemeClr val="dk1"/>
              </a:solidFill>
              <a:latin typeface="Courier New" panose="02070309020205020404" pitchFamily="49" charset="0"/>
              <a:ea typeface="+mn-ea"/>
              <a:cs typeface="Courier New" panose="02070309020205020404" pitchFamily="49" charset="0"/>
            </a:rPr>
            <a:t>  2 2   18088.000   9754.154     84.382</a:t>
          </a:r>
        </a:p>
        <a:p>
          <a:r>
            <a:rPr lang="en-US" sz="900" smtClean="0">
              <a:solidFill>
                <a:schemeClr val="dk1"/>
              </a:solidFill>
              <a:latin typeface="Courier New" panose="02070309020205020404" pitchFamily="49" charset="0"/>
              <a:ea typeface="+mn-ea"/>
              <a:cs typeface="Courier New" panose="02070309020205020404" pitchFamily="49" charset="0"/>
            </a:rPr>
            <a:t>  2 3     612.000   3576.368    -49.569</a:t>
          </a:r>
        </a:p>
        <a:p>
          <a:r>
            <a:rPr lang="en-US" sz="900" smtClean="0">
              <a:solidFill>
                <a:schemeClr val="dk1"/>
              </a:solidFill>
              <a:latin typeface="Courier New" panose="02070309020205020404" pitchFamily="49" charset="0"/>
              <a:ea typeface="+mn-ea"/>
              <a:cs typeface="Courier New" panose="02070309020205020404" pitchFamily="49" charset="0"/>
            </a:rPr>
            <a:t>  2 4     433.000   2155.149    -37.096</a:t>
          </a:r>
        </a:p>
        <a:p>
          <a:r>
            <a:rPr lang="en-US" sz="900" smtClean="0">
              <a:solidFill>
                <a:schemeClr val="dk1"/>
              </a:solidFill>
              <a:latin typeface="Courier New" panose="02070309020205020404" pitchFamily="49" charset="0"/>
              <a:ea typeface="+mn-ea"/>
              <a:cs typeface="Courier New" panose="02070309020205020404" pitchFamily="49" charset="0"/>
            </a:rPr>
            <a:t>  2 5    6067.000   7942.168    -21.041</a:t>
          </a:r>
        </a:p>
        <a:p>
          <a:r>
            <a:rPr lang="en-US" sz="900" smtClean="0">
              <a:solidFill>
                <a:schemeClr val="dk1"/>
              </a:solidFill>
              <a:latin typeface="Courier New" panose="02070309020205020404" pitchFamily="49" charset="0"/>
              <a:ea typeface="+mn-ea"/>
              <a:cs typeface="Courier New" panose="02070309020205020404" pitchFamily="49" charset="0"/>
            </a:rPr>
            <a:t>  3 1     310.000    323.350     -0.742</a:t>
          </a:r>
        </a:p>
        <a:p>
          <a:r>
            <a:rPr lang="en-US" sz="900" smtClean="0">
              <a:solidFill>
                <a:schemeClr val="dk1"/>
              </a:solidFill>
              <a:latin typeface="Courier New" panose="02070309020205020404" pitchFamily="49" charset="0"/>
              <a:ea typeface="+mn-ea"/>
              <a:cs typeface="Courier New" panose="02070309020205020404" pitchFamily="49" charset="0"/>
            </a:rPr>
            <a:t>  3 2     633.000   3781.225    -51.198</a:t>
          </a:r>
        </a:p>
        <a:p>
          <a:r>
            <a:rPr lang="en-US" sz="900" smtClean="0">
              <a:solidFill>
                <a:schemeClr val="dk1"/>
              </a:solidFill>
              <a:latin typeface="Courier New" panose="02070309020205020404" pitchFamily="49" charset="0"/>
              <a:ea typeface="+mn-ea"/>
              <a:cs typeface="Courier New" panose="02070309020205020404" pitchFamily="49" charset="0"/>
            </a:rPr>
            <a:t>  3 3    5901.000   1502.987    113.443</a:t>
          </a:r>
        </a:p>
        <a:p>
          <a:r>
            <a:rPr lang="en-US" sz="900" smtClean="0">
              <a:solidFill>
                <a:schemeClr val="dk1"/>
              </a:solidFill>
              <a:latin typeface="Courier New" panose="02070309020205020404" pitchFamily="49" charset="0"/>
              <a:ea typeface="+mn-ea"/>
              <a:cs typeface="Courier New" panose="02070309020205020404" pitchFamily="49" charset="0"/>
            </a:rPr>
            <a:t>  3 4     258.000    976.805    -22.999</a:t>
          </a:r>
        </a:p>
        <a:p>
          <a:r>
            <a:rPr lang="en-US" sz="900" smtClean="0">
              <a:solidFill>
                <a:schemeClr val="dk1"/>
              </a:solidFill>
              <a:latin typeface="Courier New" panose="02070309020205020404" pitchFamily="49" charset="0"/>
              <a:ea typeface="+mn-ea"/>
              <a:cs typeface="Courier New" panose="02070309020205020404" pitchFamily="49" charset="0"/>
            </a:rPr>
            <a:t>  3 5    4507.000   5024.634     -7.302</a:t>
          </a:r>
        </a:p>
        <a:p>
          <a:r>
            <a:rPr lang="en-US" sz="900" smtClean="0">
              <a:solidFill>
                <a:schemeClr val="dk1"/>
              </a:solidFill>
              <a:latin typeface="Courier New" panose="02070309020205020404" pitchFamily="49" charset="0"/>
              <a:ea typeface="+mn-ea"/>
              <a:cs typeface="Courier New" panose="02070309020205020404" pitchFamily="49" charset="0"/>
            </a:rPr>
            <a:t>  4 1     101.000     57.763      5.689</a:t>
          </a:r>
        </a:p>
        <a:p>
          <a:r>
            <a:rPr lang="en-US" sz="900" smtClean="0">
              <a:solidFill>
                <a:schemeClr val="dk1"/>
              </a:solidFill>
              <a:latin typeface="Courier New" panose="02070309020205020404" pitchFamily="49" charset="0"/>
              <a:ea typeface="+mn-ea"/>
              <a:cs typeface="Courier New" panose="02070309020205020404" pitchFamily="49" charset="0"/>
            </a:rPr>
            <a:t>  4 2     317.000   1894.614    -36.244</a:t>
          </a:r>
        </a:p>
        <a:p>
          <a:r>
            <a:rPr lang="en-US" sz="900" smtClean="0">
              <a:solidFill>
                <a:schemeClr val="dk1"/>
              </a:solidFill>
              <a:latin typeface="Courier New" panose="02070309020205020404" pitchFamily="49" charset="0"/>
              <a:ea typeface="+mn-ea"/>
              <a:cs typeface="Courier New" panose="02070309020205020404" pitchFamily="49" charset="0"/>
            </a:rPr>
            <a:t>  4 3     214.000    835.142    -21.494</a:t>
          </a:r>
        </a:p>
        <a:p>
          <a:r>
            <a:rPr lang="en-US" sz="900" smtClean="0">
              <a:solidFill>
                <a:schemeClr val="dk1"/>
              </a:solidFill>
              <a:latin typeface="Courier New" panose="02070309020205020404" pitchFamily="49" charset="0"/>
              <a:ea typeface="+mn-ea"/>
              <a:cs typeface="Courier New" panose="02070309020205020404" pitchFamily="49" charset="0"/>
            </a:rPr>
            <a:t>  4 4    3509.000    597.923    119.050</a:t>
          </a:r>
        </a:p>
        <a:p>
          <a:r>
            <a:rPr lang="en-US" sz="900" smtClean="0">
              <a:solidFill>
                <a:schemeClr val="dk1"/>
              </a:solidFill>
              <a:latin typeface="Courier New" panose="02070309020205020404" pitchFamily="49" charset="0"/>
              <a:ea typeface="+mn-ea"/>
              <a:cs typeface="Courier New" panose="02070309020205020404" pitchFamily="49" charset="0"/>
            </a:rPr>
            <a:t>  4 5    3959.000   4714.559    -11.004</a:t>
          </a:r>
        </a:p>
        <a:p>
          <a:r>
            <a:rPr lang="en-US" sz="900" smtClean="0">
              <a:solidFill>
                <a:schemeClr val="dk1"/>
              </a:solidFill>
              <a:latin typeface="Courier New" panose="02070309020205020404" pitchFamily="49" charset="0"/>
              <a:ea typeface="+mn-ea"/>
              <a:cs typeface="Courier New" panose="02070309020205020404" pitchFamily="49" charset="0"/>
            </a:rPr>
            <a:t>  5 1     615.000      0.536    838.995</a:t>
          </a:r>
        </a:p>
        <a:p>
          <a:r>
            <a:rPr lang="en-US" sz="900" smtClean="0">
              <a:solidFill>
                <a:schemeClr val="dk1"/>
              </a:solidFill>
              <a:latin typeface="Courier New" panose="02070309020205020404" pitchFamily="49" charset="0"/>
              <a:ea typeface="+mn-ea"/>
              <a:cs typeface="Courier New" panose="02070309020205020404" pitchFamily="49" charset="0"/>
            </a:rPr>
            <a:t>  5 2    5338.000   6168.151    -10.570</a:t>
          </a:r>
        </a:p>
        <a:p>
          <a:r>
            <a:rPr lang="en-US" sz="900" smtClean="0">
              <a:solidFill>
                <a:schemeClr val="dk1"/>
              </a:solidFill>
              <a:latin typeface="Courier New" panose="02070309020205020404" pitchFamily="49" charset="0"/>
              <a:ea typeface="+mn-ea"/>
              <a:cs typeface="Courier New" panose="02070309020205020404" pitchFamily="49" charset="0"/>
            </a:rPr>
            <a:t>  5 3    4403.000   4893.175     -7.007</a:t>
          </a:r>
        </a:p>
        <a:p>
          <a:r>
            <a:rPr lang="en-US" sz="900" smtClean="0">
              <a:solidFill>
                <a:schemeClr val="dk1"/>
              </a:solidFill>
              <a:latin typeface="Courier New" panose="02070309020205020404" pitchFamily="49" charset="0"/>
              <a:ea typeface="+mn-ea"/>
              <a:cs typeface="Courier New" panose="02070309020205020404" pitchFamily="49" charset="0"/>
            </a:rPr>
            <a:t>  5 4    5505.000   6071.304     -7.268</a:t>
          </a:r>
        </a:p>
        <a:p>
          <a:r>
            <a:rPr lang="en-US" sz="900" smtClean="0">
              <a:solidFill>
                <a:schemeClr val="dk1"/>
              </a:solidFill>
              <a:latin typeface="Courier New" panose="02070309020205020404" pitchFamily="49" charset="0"/>
              <a:ea typeface="+mn-ea"/>
              <a:cs typeface="Courier New" panose="02070309020205020404" pitchFamily="49" charset="0"/>
            </a:rPr>
            <a:t>  5 5  543276.000 542003.910      1.728</a:t>
          </a:r>
        </a:p>
        <a:p>
          <a:endParaRPr lang="en-US" sz="900" smtClean="0">
            <a:solidFill>
              <a:schemeClr val="dk1"/>
            </a:solidFill>
            <a:latin typeface="Courier New" panose="02070309020205020404" pitchFamily="49" charset="0"/>
            <a:ea typeface="+mn-ea"/>
            <a:cs typeface="Courier New" panose="02070309020205020404" pitchFamily="49" charset="0"/>
          </a:endParaRPr>
        </a:p>
        <a:p>
          <a:endParaRPr lang="en-US" sz="900" smtClean="0">
            <a:solidFill>
              <a:schemeClr val="dk1"/>
            </a:solidFill>
            <a:latin typeface="Courier New" panose="02070309020205020404" pitchFamily="49" charset="0"/>
            <a:ea typeface="+mn-ea"/>
            <a:cs typeface="Courier New" panose="02070309020205020404" pitchFamily="49" charset="0"/>
          </a:endParaRPr>
        </a:p>
        <a:p>
          <a:endParaRPr lang="en-US" sz="900" smtClean="0">
            <a:solidFill>
              <a:schemeClr val="dk1"/>
            </a:solidFill>
            <a:latin typeface="Courier New" panose="02070309020205020404" pitchFamily="49" charset="0"/>
            <a:ea typeface="+mn-ea"/>
            <a:cs typeface="Courier New" panose="02070309020205020404" pitchFamily="49" charset="0"/>
          </a:endParaRPr>
        </a:p>
        <a:p>
          <a:r>
            <a:rPr lang="en-US" sz="900" smtClean="0">
              <a:solidFill>
                <a:schemeClr val="dk1"/>
              </a:solidFill>
              <a:latin typeface="Courier New" panose="02070309020205020404" pitchFamily="49" charset="0"/>
              <a:ea typeface="+mn-ea"/>
              <a:cs typeface="Courier New" panose="02070309020205020404" pitchFamily="49" charset="0"/>
            </a:rPr>
            <a:t>*** LOG-LINEAR PARAMETERS ***</a:t>
          </a:r>
        </a:p>
        <a:p>
          <a:endParaRPr lang="en-US" sz="900" smtClean="0">
            <a:solidFill>
              <a:schemeClr val="dk1"/>
            </a:solidFill>
            <a:latin typeface="Courier New" panose="02070309020205020404" pitchFamily="49" charset="0"/>
            <a:ea typeface="+mn-ea"/>
            <a:cs typeface="Courier New" panose="02070309020205020404" pitchFamily="49" charset="0"/>
          </a:endParaRPr>
        </a:p>
        <a:p>
          <a:r>
            <a:rPr lang="en-US" sz="900" smtClean="0">
              <a:solidFill>
                <a:schemeClr val="dk1"/>
              </a:solidFill>
              <a:latin typeface="Courier New" panose="02070309020205020404" pitchFamily="49" charset="0"/>
              <a:ea typeface="+mn-ea"/>
              <a:cs typeface="Courier New" panose="02070309020205020404" pitchFamily="49" charset="0"/>
            </a:rPr>
            <a:t>* TABLE MF [or P(MF)] *</a:t>
          </a:r>
        </a:p>
        <a:p>
          <a:endParaRPr lang="en-US" sz="900" smtClean="0">
            <a:solidFill>
              <a:schemeClr val="dk1"/>
            </a:solidFill>
            <a:latin typeface="Courier New" panose="02070309020205020404" pitchFamily="49" charset="0"/>
            <a:ea typeface="+mn-ea"/>
            <a:cs typeface="Courier New" panose="02070309020205020404" pitchFamily="49" charset="0"/>
          </a:endParaRPr>
        </a:p>
        <a:p>
          <a:r>
            <a:rPr lang="en-US" sz="900" smtClean="0">
              <a:solidFill>
                <a:schemeClr val="dk1"/>
              </a:solidFill>
              <a:latin typeface="Courier New" panose="02070309020205020404" pitchFamily="49" charset="0"/>
              <a:ea typeface="+mn-ea"/>
              <a:cs typeface="Courier New" panose="02070309020205020404" pitchFamily="49" charset="0"/>
            </a:rPr>
            <a:t>  effect           beta   exp(beta)</a:t>
          </a:r>
        </a:p>
        <a:p>
          <a:r>
            <a:rPr lang="en-US" sz="900" smtClean="0">
              <a:solidFill>
                <a:schemeClr val="dk1"/>
              </a:solidFill>
              <a:latin typeface="Courier New" panose="02070309020205020404" pitchFamily="49" charset="0"/>
              <a:ea typeface="+mn-ea"/>
              <a:cs typeface="Courier New" panose="02070309020205020404" pitchFamily="49" charset="0"/>
            </a:rPr>
            <a:t>  main           7.4471  1.71E+0003 </a:t>
          </a:r>
        </a:p>
        <a:p>
          <a:r>
            <a:rPr lang="en-US" sz="900" smtClean="0">
              <a:solidFill>
                <a:schemeClr val="dk1"/>
              </a:solidFill>
              <a:latin typeface="Courier New" panose="02070309020205020404" pitchFamily="49" charset="0"/>
              <a:ea typeface="+mn-ea"/>
              <a:cs typeface="Courier New" panose="02070309020205020404" pitchFamily="49" charset="0"/>
            </a:rPr>
            <a:t>  M </a:t>
          </a:r>
        </a:p>
        <a:p>
          <a:r>
            <a:rPr lang="en-US" sz="900" smtClean="0">
              <a:solidFill>
                <a:schemeClr val="dk1"/>
              </a:solidFill>
              <a:latin typeface="Courier New" panose="02070309020205020404" pitchFamily="49" charset="0"/>
              <a:ea typeface="+mn-ea"/>
              <a:cs typeface="Courier New" panose="02070309020205020404" pitchFamily="49" charset="0"/>
            </a:rPr>
            <a:t>   1            -0.2097      0.8109 </a:t>
          </a:r>
        </a:p>
        <a:p>
          <a:r>
            <a:rPr lang="en-US" sz="900" smtClean="0">
              <a:solidFill>
                <a:schemeClr val="dk1"/>
              </a:solidFill>
              <a:latin typeface="Courier New" panose="02070309020205020404" pitchFamily="49" charset="0"/>
              <a:ea typeface="+mn-ea"/>
              <a:cs typeface="Courier New" panose="02070309020205020404" pitchFamily="49" charset="0"/>
            </a:rPr>
            <a:t>   2             0.8639      2.3724 </a:t>
          </a:r>
        </a:p>
        <a:p>
          <a:r>
            <a:rPr lang="en-US" sz="900" smtClean="0">
              <a:solidFill>
                <a:schemeClr val="dk1"/>
              </a:solidFill>
              <a:latin typeface="Courier New" panose="02070309020205020404" pitchFamily="49" charset="0"/>
              <a:ea typeface="+mn-ea"/>
              <a:cs typeface="Courier New" panose="02070309020205020404" pitchFamily="49" charset="0"/>
            </a:rPr>
            <a:t>   3            -0.0994      0.9053 </a:t>
          </a:r>
        </a:p>
        <a:p>
          <a:r>
            <a:rPr lang="en-US" sz="900" smtClean="0">
              <a:solidFill>
                <a:schemeClr val="dk1"/>
              </a:solidFill>
              <a:latin typeface="Courier New" panose="02070309020205020404" pitchFamily="49" charset="0"/>
              <a:ea typeface="+mn-ea"/>
              <a:cs typeface="Courier New" panose="02070309020205020404" pitchFamily="49" charset="0"/>
            </a:rPr>
            <a:t>   4            -0.8105      0.4446 </a:t>
          </a:r>
        </a:p>
        <a:p>
          <a:r>
            <a:rPr lang="en-US" sz="900" smtClean="0">
              <a:solidFill>
                <a:schemeClr val="dk1"/>
              </a:solidFill>
              <a:latin typeface="Courier New" panose="02070309020205020404" pitchFamily="49" charset="0"/>
              <a:ea typeface="+mn-ea"/>
              <a:cs typeface="Courier New" panose="02070309020205020404" pitchFamily="49" charset="0"/>
            </a:rPr>
            <a:t>   5             0.2558      1.2915 </a:t>
          </a:r>
        </a:p>
        <a:p>
          <a:r>
            <a:rPr lang="en-US" sz="900" smtClean="0">
              <a:solidFill>
                <a:schemeClr val="dk1"/>
              </a:solidFill>
              <a:latin typeface="Courier New" panose="02070309020205020404" pitchFamily="49" charset="0"/>
              <a:ea typeface="+mn-ea"/>
              <a:cs typeface="Courier New" panose="02070309020205020404" pitchFamily="49" charset="0"/>
            </a:rPr>
            <a:t>  F </a:t>
          </a:r>
        </a:p>
        <a:p>
          <a:r>
            <a:rPr lang="en-US" sz="900" smtClean="0">
              <a:solidFill>
                <a:schemeClr val="dk1"/>
              </a:solidFill>
              <a:latin typeface="Courier New" panose="02070309020205020404" pitchFamily="49" charset="0"/>
              <a:ea typeface="+mn-ea"/>
              <a:cs typeface="Courier New" panose="02070309020205020404" pitchFamily="49" charset="0"/>
            </a:rPr>
            <a:t>   1            -1.9721      0.1392 </a:t>
          </a:r>
        </a:p>
        <a:p>
          <a:r>
            <a:rPr lang="en-US" sz="900" smtClean="0">
              <a:solidFill>
                <a:schemeClr val="dk1"/>
              </a:solidFill>
              <a:latin typeface="Courier New" panose="02070309020205020404" pitchFamily="49" charset="0"/>
              <a:ea typeface="+mn-ea"/>
              <a:cs typeface="Courier New" panose="02070309020205020404" pitchFamily="49" charset="0"/>
            </a:rPr>
            <a:t>   2             0.8982      2.4551 </a:t>
          </a:r>
        </a:p>
        <a:p>
          <a:r>
            <a:rPr lang="en-US" sz="900" smtClean="0">
              <a:solidFill>
                <a:schemeClr val="dk1"/>
              </a:solidFill>
              <a:latin typeface="Courier New" panose="02070309020205020404" pitchFamily="49" charset="0"/>
              <a:ea typeface="+mn-ea"/>
              <a:cs typeface="Courier New" panose="02070309020205020404" pitchFamily="49" charset="0"/>
            </a:rPr>
            <a:t>   3             0.0168      1.0170 </a:t>
          </a:r>
        </a:p>
        <a:p>
          <a:r>
            <a:rPr lang="en-US" sz="900" smtClean="0">
              <a:solidFill>
                <a:schemeClr val="dk1"/>
              </a:solidFill>
              <a:latin typeface="Courier New" panose="02070309020205020404" pitchFamily="49" charset="0"/>
              <a:ea typeface="+mn-ea"/>
              <a:cs typeface="Courier New" panose="02070309020205020404" pitchFamily="49" charset="0"/>
            </a:rPr>
            <a:t>   4            -0.3755      0.6869 </a:t>
          </a:r>
        </a:p>
        <a:p>
          <a:r>
            <a:rPr lang="en-US" sz="900" smtClean="0">
              <a:solidFill>
                <a:schemeClr val="dk1"/>
              </a:solidFill>
              <a:latin typeface="Courier New" panose="02070309020205020404" pitchFamily="49" charset="0"/>
              <a:ea typeface="+mn-ea"/>
              <a:cs typeface="Courier New" panose="02070309020205020404" pitchFamily="49" charset="0"/>
            </a:rPr>
            <a:t>   5             1.4326      4.1897 </a:t>
          </a:r>
        </a:p>
        <a:p>
          <a:endParaRPr lang="en-US" sz="900" smtClean="0">
            <a:solidFill>
              <a:schemeClr val="dk1"/>
            </a:solidFill>
            <a:latin typeface="Courier New" panose="02070309020205020404" pitchFamily="49" charset="0"/>
            <a:ea typeface="+mn-ea"/>
            <a:cs typeface="Courier New" panose="02070309020205020404" pitchFamily="49" charset="0"/>
          </a:endParaRPr>
        </a:p>
        <a:p>
          <a:r>
            <a:rPr lang="en-US" sz="900" smtClean="0">
              <a:solidFill>
                <a:schemeClr val="dk1"/>
              </a:solidFill>
              <a:latin typeface="Courier New" panose="02070309020205020404" pitchFamily="49" charset="0"/>
              <a:ea typeface="+mn-ea"/>
              <a:cs typeface="Courier New" panose="02070309020205020404" pitchFamily="49" charset="0"/>
            </a:rPr>
            <a:t>  type 2 association (row=M column=F)</a:t>
          </a:r>
        </a:p>
        <a:p>
          <a:r>
            <a:rPr lang="en-US" sz="900" smtClean="0">
              <a:solidFill>
                <a:schemeClr val="dk1"/>
              </a:solidFill>
              <a:latin typeface="Courier New" panose="02070309020205020404" pitchFamily="49" charset="0"/>
              <a:ea typeface="+mn-ea"/>
              <a:cs typeface="Courier New" panose="02070309020205020404" pitchFamily="49" charset="0"/>
            </a:rPr>
            <a:t>  association   10.2334</a:t>
          </a:r>
        </a:p>
        <a:p>
          <a:r>
            <a:rPr lang="en-US" sz="900" smtClean="0">
              <a:solidFill>
                <a:schemeClr val="dk1"/>
              </a:solidFill>
              <a:latin typeface="Courier New" panose="02070309020205020404" pitchFamily="49" charset="0"/>
              <a:ea typeface="+mn-ea"/>
              <a:cs typeface="Courier New" panose="02070309020205020404" pitchFamily="49" charset="0"/>
            </a:rPr>
            <a:t>  row           -0.6363  -0.1414  -0.0478   0.0721   0.7534</a:t>
          </a:r>
        </a:p>
        <a:p>
          <a:r>
            <a:rPr lang="en-US" sz="900" smtClean="0">
              <a:solidFill>
                <a:schemeClr val="dk1"/>
              </a:solidFill>
              <a:latin typeface="Courier New" panose="02070309020205020404" pitchFamily="49" charset="0"/>
              <a:ea typeface="+mn-ea"/>
              <a:cs typeface="Courier New" panose="02070309020205020404" pitchFamily="49" charset="0"/>
            </a:rPr>
            <a:t>  adj row       -2.0354  -0.4525  -0.1530   0.2307   2.4102</a:t>
          </a:r>
        </a:p>
        <a:p>
          <a:r>
            <a:rPr lang="en-US" sz="900" smtClean="0">
              <a:solidFill>
                <a:schemeClr val="dk1"/>
              </a:solidFill>
              <a:latin typeface="Courier New" panose="02070309020205020404" pitchFamily="49" charset="0"/>
              <a:ea typeface="+mn-ea"/>
              <a:cs typeface="Courier New" panose="02070309020205020404" pitchFamily="49" charset="0"/>
            </a:rPr>
            <a:t>  column        -0.8241   0.0164   0.1006   0.1795   0.5276</a:t>
          </a:r>
        </a:p>
        <a:p>
          <a:r>
            <a:rPr lang="en-US" sz="900" smtClean="0">
              <a:solidFill>
                <a:schemeClr val="dk1"/>
              </a:solidFill>
              <a:latin typeface="Courier New" panose="02070309020205020404" pitchFamily="49" charset="0"/>
              <a:ea typeface="+mn-ea"/>
              <a:cs typeface="Courier New" panose="02070309020205020404" pitchFamily="49" charset="0"/>
            </a:rPr>
            <a:t>  adj column    -2.6361   0.0523   0.3219   0.5742   1.6876</a:t>
          </a:r>
        </a:p>
        <a:p>
          <a:endParaRPr lang="en-US" sz="900" smtClean="0">
            <a:solidFill>
              <a:schemeClr val="dk1"/>
            </a:solidFill>
            <a:latin typeface="Courier New" panose="02070309020205020404" pitchFamily="49" charset="0"/>
            <a:ea typeface="+mn-ea"/>
            <a:cs typeface="Courier New" panose="02070309020205020404" pitchFamily="49" charset="0"/>
          </a:endParaRPr>
        </a:p>
        <a:p>
          <a:endParaRPr lang="en-US" sz="900" smtClean="0">
            <a:solidFill>
              <a:schemeClr val="dk1"/>
            </a:solidFill>
            <a:latin typeface="Courier New" panose="02070309020205020404" pitchFamily="49" charset="0"/>
            <a:ea typeface="+mn-ea"/>
            <a:cs typeface="Courier New" panose="02070309020205020404" pitchFamily="49" charset="0"/>
          </a:endParaRPr>
        </a:p>
        <a:p>
          <a:endParaRPr lang="en-US" sz="900" smtClean="0">
            <a:solidFill>
              <a:schemeClr val="dk1"/>
            </a:solidFill>
            <a:latin typeface="Courier New" panose="02070309020205020404" pitchFamily="49" charset="0"/>
            <a:ea typeface="+mn-ea"/>
            <a:cs typeface="Courier New" panose="02070309020205020404" pitchFamily="49" charset="0"/>
          </a:endParaRPr>
        </a:p>
        <a:p>
          <a:r>
            <a:rPr lang="en-US" sz="900" smtClean="0">
              <a:solidFill>
                <a:schemeClr val="dk1"/>
              </a:solidFill>
              <a:latin typeface="Courier New" panose="02070309020205020404" pitchFamily="49" charset="0"/>
              <a:ea typeface="+mn-ea"/>
              <a:cs typeface="Courier New" panose="02070309020205020404" pitchFamily="49" charset="0"/>
            </a:rPr>
            <a:t>*** (CONDITIONAL) PROBABILITIES ***</a:t>
          </a:r>
        </a:p>
        <a:p>
          <a:endParaRPr lang="en-US" sz="900" smtClean="0">
            <a:solidFill>
              <a:schemeClr val="dk1"/>
            </a:solidFill>
            <a:latin typeface="Courier New" panose="02070309020205020404" pitchFamily="49" charset="0"/>
            <a:ea typeface="+mn-ea"/>
            <a:cs typeface="Courier New" panose="02070309020205020404" pitchFamily="49" charset="0"/>
          </a:endParaRPr>
        </a:p>
        <a:p>
          <a:r>
            <a:rPr lang="en-US" sz="900" smtClean="0">
              <a:solidFill>
                <a:schemeClr val="dk1"/>
              </a:solidFill>
              <a:latin typeface="Courier New" panose="02070309020205020404" pitchFamily="49" charset="0"/>
              <a:ea typeface="+mn-ea"/>
              <a:cs typeface="Courier New" panose="02070309020205020404" pitchFamily="49" charset="0"/>
            </a:rPr>
            <a:t>* P(MF) *</a:t>
          </a:r>
        </a:p>
        <a:p>
          <a:endParaRPr lang="en-US" sz="900" smtClean="0">
            <a:solidFill>
              <a:schemeClr val="dk1"/>
            </a:solidFill>
            <a:latin typeface="Courier New" panose="02070309020205020404" pitchFamily="49" charset="0"/>
            <a:ea typeface="+mn-ea"/>
            <a:cs typeface="Courier New" panose="02070309020205020404" pitchFamily="49" charset="0"/>
          </a:endParaRPr>
        </a:p>
        <a:p>
          <a:r>
            <a:rPr lang="en-US" sz="900" smtClean="0">
              <a:solidFill>
                <a:schemeClr val="dk1"/>
              </a:solidFill>
              <a:latin typeface="Courier New" panose="02070309020205020404" pitchFamily="49" charset="0"/>
              <a:ea typeface="+mn-ea"/>
              <a:cs typeface="Courier New" panose="02070309020205020404" pitchFamily="49" charset="0"/>
            </a:rPr>
            <a:t>  1 1            0.0637</a:t>
          </a:r>
        </a:p>
        <a:p>
          <a:r>
            <a:rPr lang="en-US" sz="900" smtClean="0">
              <a:solidFill>
                <a:schemeClr val="dk1"/>
              </a:solidFill>
              <a:latin typeface="Courier New" panose="02070309020205020404" pitchFamily="49" charset="0"/>
              <a:ea typeface="+mn-ea"/>
              <a:cs typeface="Courier New" panose="02070309020205020404" pitchFamily="49" charset="0"/>
            </a:rPr>
            <a:t>  1 2            0.0047</a:t>
          </a:r>
        </a:p>
        <a:p>
          <a:r>
            <a:rPr lang="en-US" sz="900" smtClean="0">
              <a:solidFill>
                <a:schemeClr val="dk1"/>
              </a:solidFill>
              <a:latin typeface="Courier New" panose="02070309020205020404" pitchFamily="49" charset="0"/>
              <a:ea typeface="+mn-ea"/>
              <a:cs typeface="Courier New" panose="02070309020205020404" pitchFamily="49" charset="0"/>
            </a:rPr>
            <a:t>  1 3            0.0011</a:t>
          </a:r>
        </a:p>
        <a:p>
          <a:r>
            <a:rPr lang="en-US" sz="900" smtClean="0">
              <a:solidFill>
                <a:schemeClr val="dk1"/>
              </a:solidFill>
              <a:latin typeface="Courier New" panose="02070309020205020404" pitchFamily="49" charset="0"/>
              <a:ea typeface="+mn-ea"/>
              <a:cs typeface="Courier New" panose="02070309020205020404" pitchFamily="49" charset="0"/>
            </a:rPr>
            <a:t>  1 4            0.0005</a:t>
          </a:r>
        </a:p>
        <a:p>
          <a:r>
            <a:rPr lang="en-US" sz="900" smtClean="0">
              <a:solidFill>
                <a:schemeClr val="dk1"/>
              </a:solidFill>
              <a:latin typeface="Courier New" panose="02070309020205020404" pitchFamily="49" charset="0"/>
              <a:ea typeface="+mn-ea"/>
              <a:cs typeface="Courier New" panose="02070309020205020404" pitchFamily="49" charset="0"/>
            </a:rPr>
            <a:t>  1 5            0.0003</a:t>
          </a:r>
        </a:p>
        <a:p>
          <a:r>
            <a:rPr lang="en-US" sz="900" smtClean="0">
              <a:solidFill>
                <a:schemeClr val="dk1"/>
              </a:solidFill>
              <a:latin typeface="Courier New" panose="02070309020205020404" pitchFamily="49" charset="0"/>
              <a:ea typeface="+mn-ea"/>
              <a:cs typeface="Courier New" panose="02070309020205020404" pitchFamily="49" charset="0"/>
            </a:rPr>
            <a:t>  2 1            0.0029</a:t>
          </a:r>
        </a:p>
        <a:p>
          <a:r>
            <a:rPr lang="en-US" sz="900" smtClean="0">
              <a:solidFill>
                <a:schemeClr val="dk1"/>
              </a:solidFill>
              <a:latin typeface="Courier New" panose="02070309020205020404" pitchFamily="49" charset="0"/>
              <a:ea typeface="+mn-ea"/>
              <a:cs typeface="Courier New" panose="02070309020205020404" pitchFamily="49" charset="0"/>
            </a:rPr>
            <a:t>  2 2            0.0150</a:t>
          </a:r>
        </a:p>
        <a:p>
          <a:r>
            <a:rPr lang="en-US" sz="900" smtClean="0">
              <a:solidFill>
                <a:schemeClr val="dk1"/>
              </a:solidFill>
              <a:latin typeface="Courier New" panose="02070309020205020404" pitchFamily="49" charset="0"/>
              <a:ea typeface="+mn-ea"/>
              <a:cs typeface="Courier New" panose="02070309020205020404" pitchFamily="49" charset="0"/>
            </a:rPr>
            <a:t>  2 3            0.0055</a:t>
          </a:r>
        </a:p>
        <a:p>
          <a:r>
            <a:rPr lang="en-US" sz="900" smtClean="0">
              <a:solidFill>
                <a:schemeClr val="dk1"/>
              </a:solidFill>
              <a:latin typeface="Courier New" panose="02070309020205020404" pitchFamily="49" charset="0"/>
              <a:ea typeface="+mn-ea"/>
              <a:cs typeface="Courier New" panose="02070309020205020404" pitchFamily="49" charset="0"/>
            </a:rPr>
            <a:t>  2 4            0.0033</a:t>
          </a:r>
        </a:p>
        <a:p>
          <a:r>
            <a:rPr lang="en-US" sz="900" smtClean="0">
              <a:solidFill>
                <a:schemeClr val="dk1"/>
              </a:solidFill>
              <a:latin typeface="Courier New" panose="02070309020205020404" pitchFamily="49" charset="0"/>
              <a:ea typeface="+mn-ea"/>
              <a:cs typeface="Courier New" panose="02070309020205020404" pitchFamily="49" charset="0"/>
            </a:rPr>
            <a:t>  2 5            0.0122</a:t>
          </a:r>
        </a:p>
        <a:p>
          <a:r>
            <a:rPr lang="en-US" sz="900" smtClean="0">
              <a:solidFill>
                <a:schemeClr val="dk1"/>
              </a:solidFill>
              <a:latin typeface="Courier New" panose="02070309020205020404" pitchFamily="49" charset="0"/>
              <a:ea typeface="+mn-ea"/>
              <a:cs typeface="Courier New" panose="02070309020205020404" pitchFamily="49" charset="0"/>
            </a:rPr>
            <a:t>  3 1            0.0005</a:t>
          </a:r>
        </a:p>
        <a:p>
          <a:r>
            <a:rPr lang="en-US" sz="900" smtClean="0">
              <a:solidFill>
                <a:schemeClr val="dk1"/>
              </a:solidFill>
              <a:latin typeface="Courier New" panose="02070309020205020404" pitchFamily="49" charset="0"/>
              <a:ea typeface="+mn-ea"/>
              <a:cs typeface="Courier New" panose="02070309020205020404" pitchFamily="49" charset="0"/>
            </a:rPr>
            <a:t>  3 2            0.0058</a:t>
          </a:r>
        </a:p>
        <a:p>
          <a:r>
            <a:rPr lang="en-US" sz="900" smtClean="0">
              <a:solidFill>
                <a:schemeClr val="dk1"/>
              </a:solidFill>
              <a:latin typeface="Courier New" panose="02070309020205020404" pitchFamily="49" charset="0"/>
              <a:ea typeface="+mn-ea"/>
              <a:cs typeface="Courier New" panose="02070309020205020404" pitchFamily="49" charset="0"/>
            </a:rPr>
            <a:t>  3 3            0.0023</a:t>
          </a:r>
        </a:p>
        <a:p>
          <a:r>
            <a:rPr lang="en-US" sz="900" smtClean="0">
              <a:solidFill>
                <a:schemeClr val="dk1"/>
              </a:solidFill>
              <a:latin typeface="Courier New" panose="02070309020205020404" pitchFamily="49" charset="0"/>
              <a:ea typeface="+mn-ea"/>
              <a:cs typeface="Courier New" panose="02070309020205020404" pitchFamily="49" charset="0"/>
            </a:rPr>
            <a:t>  3 4            0.0015</a:t>
          </a:r>
        </a:p>
        <a:p>
          <a:r>
            <a:rPr lang="en-US" sz="900" smtClean="0">
              <a:solidFill>
                <a:schemeClr val="dk1"/>
              </a:solidFill>
              <a:latin typeface="Courier New" panose="02070309020205020404" pitchFamily="49" charset="0"/>
              <a:ea typeface="+mn-ea"/>
              <a:cs typeface="Courier New" panose="02070309020205020404" pitchFamily="49" charset="0"/>
            </a:rPr>
            <a:t>  3 5            0.0077</a:t>
          </a:r>
        </a:p>
        <a:p>
          <a:r>
            <a:rPr lang="en-US" sz="900" smtClean="0">
              <a:solidFill>
                <a:schemeClr val="dk1"/>
              </a:solidFill>
              <a:latin typeface="Courier New" panose="02070309020205020404" pitchFamily="49" charset="0"/>
              <a:ea typeface="+mn-ea"/>
              <a:cs typeface="Courier New" panose="02070309020205020404" pitchFamily="49" charset="0"/>
            </a:rPr>
            <a:t>  4 1            0.0001</a:t>
          </a:r>
        </a:p>
        <a:p>
          <a:r>
            <a:rPr lang="en-US" sz="900" smtClean="0">
              <a:solidFill>
                <a:schemeClr val="dk1"/>
              </a:solidFill>
              <a:latin typeface="Courier New" panose="02070309020205020404" pitchFamily="49" charset="0"/>
              <a:ea typeface="+mn-ea"/>
              <a:cs typeface="Courier New" panose="02070309020205020404" pitchFamily="49" charset="0"/>
            </a:rPr>
            <a:t>  4 2            0.0029</a:t>
          </a:r>
        </a:p>
        <a:p>
          <a:r>
            <a:rPr lang="en-US" sz="900" smtClean="0">
              <a:solidFill>
                <a:schemeClr val="dk1"/>
              </a:solidFill>
              <a:latin typeface="Courier New" panose="02070309020205020404" pitchFamily="49" charset="0"/>
              <a:ea typeface="+mn-ea"/>
              <a:cs typeface="Courier New" panose="02070309020205020404" pitchFamily="49" charset="0"/>
            </a:rPr>
            <a:t>  4 3            0.0013</a:t>
          </a:r>
        </a:p>
        <a:p>
          <a:r>
            <a:rPr lang="en-US" sz="900" smtClean="0">
              <a:solidFill>
                <a:schemeClr val="dk1"/>
              </a:solidFill>
              <a:latin typeface="Courier New" panose="02070309020205020404" pitchFamily="49" charset="0"/>
              <a:ea typeface="+mn-ea"/>
              <a:cs typeface="Courier New" panose="02070309020205020404" pitchFamily="49" charset="0"/>
            </a:rPr>
            <a:t>  4 4            0.0009</a:t>
          </a:r>
        </a:p>
        <a:p>
          <a:r>
            <a:rPr lang="en-US" sz="900" smtClean="0">
              <a:solidFill>
                <a:schemeClr val="dk1"/>
              </a:solidFill>
              <a:latin typeface="Courier New" panose="02070309020205020404" pitchFamily="49" charset="0"/>
              <a:ea typeface="+mn-ea"/>
              <a:cs typeface="Courier New" panose="02070309020205020404" pitchFamily="49" charset="0"/>
            </a:rPr>
            <a:t>  4 5            0.0073</a:t>
          </a:r>
        </a:p>
        <a:p>
          <a:r>
            <a:rPr lang="en-US" sz="900" smtClean="0">
              <a:solidFill>
                <a:schemeClr val="dk1"/>
              </a:solidFill>
              <a:latin typeface="Courier New" panose="02070309020205020404" pitchFamily="49" charset="0"/>
              <a:ea typeface="+mn-ea"/>
              <a:cs typeface="Courier New" panose="02070309020205020404" pitchFamily="49" charset="0"/>
            </a:rPr>
            <a:t>  5 1            0.0000</a:t>
          </a:r>
        </a:p>
        <a:p>
          <a:r>
            <a:rPr lang="en-US" sz="900" smtClean="0">
              <a:solidFill>
                <a:schemeClr val="dk1"/>
              </a:solidFill>
              <a:latin typeface="Courier New" panose="02070309020205020404" pitchFamily="49" charset="0"/>
              <a:ea typeface="+mn-ea"/>
              <a:cs typeface="Courier New" panose="02070309020205020404" pitchFamily="49" charset="0"/>
            </a:rPr>
            <a:t>  5 2            0.0095</a:t>
          </a:r>
        </a:p>
        <a:p>
          <a:r>
            <a:rPr lang="en-US" sz="900" smtClean="0">
              <a:solidFill>
                <a:schemeClr val="dk1"/>
              </a:solidFill>
              <a:latin typeface="Courier New" panose="02070309020205020404" pitchFamily="49" charset="0"/>
              <a:ea typeface="+mn-ea"/>
              <a:cs typeface="Courier New" panose="02070309020205020404" pitchFamily="49" charset="0"/>
            </a:rPr>
            <a:t>  5 3            0.0075</a:t>
          </a:r>
        </a:p>
        <a:p>
          <a:r>
            <a:rPr lang="en-US" sz="900" smtClean="0">
              <a:solidFill>
                <a:schemeClr val="dk1"/>
              </a:solidFill>
              <a:latin typeface="Courier New" panose="02070309020205020404" pitchFamily="49" charset="0"/>
              <a:ea typeface="+mn-ea"/>
              <a:cs typeface="Courier New" panose="02070309020205020404" pitchFamily="49" charset="0"/>
            </a:rPr>
            <a:t>  5 4            0.0093</a:t>
          </a:r>
        </a:p>
        <a:p>
          <a:r>
            <a:rPr lang="en-US" sz="900" smtClean="0">
              <a:solidFill>
                <a:schemeClr val="dk1"/>
              </a:solidFill>
              <a:latin typeface="Courier New" panose="02070309020205020404" pitchFamily="49" charset="0"/>
              <a:ea typeface="+mn-ea"/>
              <a:cs typeface="Courier New" panose="02070309020205020404" pitchFamily="49" charset="0"/>
            </a:rPr>
            <a:t>  5 5            0.8341</a:t>
          </a:r>
        </a:p>
        <a:p>
          <a:endParaRPr lang="en-US" sz="900">
            <a:latin typeface="Courier New" panose="02070309020205020404" pitchFamily="49" charset="0"/>
            <a:cs typeface="Courier New" panose="02070309020205020404" pitchFamily="49" charset="0"/>
          </a:endParaRPr>
        </a:p>
      </xdr:txBody>
    </xdr:sp>
    <xdr:clientData/>
  </xdr:oneCellAnchor>
  <xdr:twoCellAnchor>
    <xdr:from>
      <xdr:col>25</xdr:col>
      <xdr:colOff>42862</xdr:colOff>
      <xdr:row>4</xdr:row>
      <xdr:rowOff>295275</xdr:rowOff>
    </xdr:from>
    <xdr:to>
      <xdr:col>32</xdr:col>
      <xdr:colOff>419100</xdr:colOff>
      <xdr:row>19</xdr:row>
      <xdr:rowOff>38100</xdr:rowOff>
    </xdr:to>
    <xdr:graphicFrame macro="">
      <xdr:nvGraphicFramePr>
        <xdr:cNvPr id="5" name="Chart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9.xml><?xml version="1.0" encoding="utf-8"?>
<xdr:wsDr xmlns:xdr="http://schemas.openxmlformats.org/drawingml/2006/spreadsheetDrawing" xmlns:a="http://schemas.openxmlformats.org/drawingml/2006/main">
  <xdr:twoCellAnchor>
    <xdr:from>
      <xdr:col>3</xdr:col>
      <xdr:colOff>438150</xdr:colOff>
      <xdr:row>12</xdr:row>
      <xdr:rowOff>76200</xdr:rowOff>
    </xdr:from>
    <xdr:to>
      <xdr:col>6</xdr:col>
      <xdr:colOff>409575</xdr:colOff>
      <xdr:row>19</xdr:row>
      <xdr:rowOff>76200</xdr:rowOff>
    </xdr:to>
    <xdr:sp macro="" textlink="">
      <xdr:nvSpPr>
        <xdr:cNvPr id="1026" name="Text Box 2"/>
        <xdr:cNvSpPr txBox="1">
          <a:spLocks noChangeArrowheads="1"/>
        </xdr:cNvSpPr>
      </xdr:nvSpPr>
      <xdr:spPr bwMode="auto">
        <a:xfrm>
          <a:off x="4000500" y="1905000"/>
          <a:ext cx="2628900" cy="10668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Geneva"/>
            </a:rPr>
            <a:t>In this dataset, cat 1 is &lt;HS, cat 2 is HS degree, cat 3 is some college, cat 4 is BA+, all persons are US born age 20-29.</a:t>
          </a:r>
        </a:p>
      </xdr:txBody>
    </xdr:sp>
    <xdr:clientData/>
  </xdr:twoCellAnchor>
  <xdr:twoCellAnchor>
    <xdr:from>
      <xdr:col>3</xdr:col>
      <xdr:colOff>828675</xdr:colOff>
      <xdr:row>61</xdr:row>
      <xdr:rowOff>28575</xdr:rowOff>
    </xdr:from>
    <xdr:to>
      <xdr:col>8</xdr:col>
      <xdr:colOff>171450</xdr:colOff>
      <xdr:row>70</xdr:row>
      <xdr:rowOff>28575</xdr:rowOff>
    </xdr:to>
    <xdr:sp macro="" textlink="">
      <xdr:nvSpPr>
        <xdr:cNvPr id="1027" name="Text Box 3"/>
        <xdr:cNvSpPr txBox="1">
          <a:spLocks noChangeArrowheads="1"/>
        </xdr:cNvSpPr>
      </xdr:nvSpPr>
      <xdr:spPr bwMode="auto">
        <a:xfrm>
          <a:off x="4391025" y="9324975"/>
          <a:ext cx="4048125" cy="13716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Geneva"/>
            </a:rPr>
            <a:t>In analyzing these models, we ordinarily make 2 comparisons.  One comparison is to the constant only model, which is not a very interesting comparison but at least it's always available.  The second and more interesting comparison is with the saturated model.  The comparison to the saturated model is the comparison one gets with 'poisgof'.  The comparison to the constant only model is what one gets from the 'likelihood ratio chisquare' at the top of the results from poisson regression.  </a:t>
          </a:r>
        </a:p>
      </xdr:txBody>
    </xdr:sp>
    <xdr:clientData/>
  </xdr:twoCellAnchor>
  <xdr:twoCellAnchor>
    <xdr:from>
      <xdr:col>0</xdr:col>
      <xdr:colOff>104775</xdr:colOff>
      <xdr:row>61</xdr:row>
      <xdr:rowOff>85725</xdr:rowOff>
    </xdr:from>
    <xdr:to>
      <xdr:col>2</xdr:col>
      <xdr:colOff>466725</xdr:colOff>
      <xdr:row>68</xdr:row>
      <xdr:rowOff>76200</xdr:rowOff>
    </xdr:to>
    <xdr:sp macro="" textlink="">
      <xdr:nvSpPr>
        <xdr:cNvPr id="1028" name="Text Box 4"/>
        <xdr:cNvSpPr txBox="1">
          <a:spLocks noChangeArrowheads="1"/>
        </xdr:cNvSpPr>
      </xdr:nvSpPr>
      <xdr:spPr bwMode="auto">
        <a:xfrm>
          <a:off x="104775" y="9382125"/>
          <a:ext cx="1828800" cy="105727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Geneva"/>
            </a:rPr>
            <a:t>What I'm calling Model 3 here, the independence model plus 1 endogamy term fits dramatically better than Model 2, but still dramatically worse than the saturated model.</a:t>
          </a:r>
        </a:p>
      </xdr:txBody>
    </xdr:sp>
    <xdr:clientData/>
  </xdr:twoCellAnchor>
  <xdr:twoCellAnchor>
    <xdr:from>
      <xdr:col>2</xdr:col>
      <xdr:colOff>742950</xdr:colOff>
      <xdr:row>62</xdr:row>
      <xdr:rowOff>0</xdr:rowOff>
    </xdr:from>
    <xdr:to>
      <xdr:col>3</xdr:col>
      <xdr:colOff>647700</xdr:colOff>
      <xdr:row>70</xdr:row>
      <xdr:rowOff>123825</xdr:rowOff>
    </xdr:to>
    <xdr:sp macro="" textlink="">
      <xdr:nvSpPr>
        <xdr:cNvPr id="1029" name="Text Box 5"/>
        <xdr:cNvSpPr txBox="1">
          <a:spLocks noChangeArrowheads="1"/>
        </xdr:cNvSpPr>
      </xdr:nvSpPr>
      <xdr:spPr bwMode="auto">
        <a:xfrm>
          <a:off x="2209800" y="9448800"/>
          <a:ext cx="2000250" cy="13430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Geneva"/>
            </a:rPr>
            <a:t>Model 4 is superior to Model 3 by the Likelihood Ratio Test (the difference of the goodness of fit chisquare tests is 35,770 on 3 df)</a:t>
          </a:r>
        </a:p>
        <a:p>
          <a:pPr algn="l" rtl="0">
            <a:defRPr sz="1000"/>
          </a:pPr>
          <a:endParaRPr lang="en-US" sz="900" b="0" i="0" u="none" strike="noStrike" baseline="0">
            <a:solidFill>
              <a:srgbClr val="000000"/>
            </a:solidFill>
            <a:latin typeface="Geneva"/>
          </a:endParaRPr>
        </a:p>
        <a:p>
          <a:pPr algn="l" rtl="0">
            <a:defRPr sz="1000"/>
          </a:pPr>
          <a:r>
            <a:rPr lang="en-US" sz="900" b="0" i="0" u="none" strike="noStrike" baseline="0">
              <a:solidFill>
                <a:srgbClr val="000000"/>
              </a:solidFill>
              <a:latin typeface="Geneva"/>
            </a:rPr>
            <a:t>Model 4 is also superior to Model 3 by the BIC test, which favors parsimony more than the LRT</a:t>
          </a:r>
        </a:p>
      </xdr:txBody>
    </xdr:sp>
    <xdr:clientData/>
  </xdr:twoCellAnchor>
  <xdr:twoCellAnchor>
    <xdr:from>
      <xdr:col>0</xdr:col>
      <xdr:colOff>304800</xdr:colOff>
      <xdr:row>71</xdr:row>
      <xdr:rowOff>66675</xdr:rowOff>
    </xdr:from>
    <xdr:to>
      <xdr:col>5</xdr:col>
      <xdr:colOff>66675</xdr:colOff>
      <xdr:row>87</xdr:row>
      <xdr:rowOff>57150</xdr:rowOff>
    </xdr:to>
    <xdr:sp macro="" textlink="">
      <xdr:nvSpPr>
        <xdr:cNvPr id="1030" name="Text Box 6"/>
        <xdr:cNvSpPr txBox="1">
          <a:spLocks noChangeArrowheads="1"/>
        </xdr:cNvSpPr>
      </xdr:nvSpPr>
      <xdr:spPr bwMode="auto">
        <a:xfrm>
          <a:off x="304800" y="10887075"/>
          <a:ext cx="5086350" cy="242887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Geneva"/>
            </a:rPr>
            <a:t>Every model has a Likelihood, which is just the probability of the model (with coefficients) given the data.  It's a product of N individual likelihood functions.  The log likelihood is easier to work with.  -2*log likelihood gives a statistic that takes a chisquare (df) distribution, where df is the difference in degrees of freedom of two nested models.  Any two nested models can be compared with a Likelihood Ratio test, which is just -2LL of the smaller nested model minus -2LL of the model with more terms.  The likelihood or log likelihood, or -2 log likelihood don't tell you anything interesting by themselves, they're only useful when comparing two models.  Note that the difference in goodness of fit chisquare between any two models is the same as the difference in -2LL of the two models, which is the same as the difference in chisquare difference from the constant model.</a:t>
          </a:r>
        </a:p>
        <a:p>
          <a:pPr algn="l" rtl="0">
            <a:defRPr sz="1000"/>
          </a:pPr>
          <a:endParaRPr lang="en-US" sz="900" b="0" i="0" u="none" strike="noStrike" baseline="0">
            <a:solidFill>
              <a:srgbClr val="000000"/>
            </a:solidFill>
            <a:latin typeface="Geneva"/>
          </a:endParaRPr>
        </a:p>
        <a:p>
          <a:pPr algn="l" rtl="0">
            <a:defRPr sz="1000"/>
          </a:pPr>
          <a:r>
            <a:rPr lang="en-US" sz="900" b="0" i="0" u="none" strike="noStrike" baseline="0">
              <a:solidFill>
                <a:srgbClr val="000000"/>
              </a:solidFill>
              <a:latin typeface="Geneva"/>
            </a:rPr>
            <a:t>In theory, any two models (whether nested or rot) can be compared with BIC tests. In the BIC test, smaller number means better fit and negative values are preferred to the saturated model (because the saturated model is the implicit comparison in the LRT we are using as the basis for this BIC statistic).</a:t>
          </a:r>
        </a:p>
      </xdr:txBody>
    </xdr:sp>
    <xdr:clientData/>
  </xdr:twoCellAnchor>
  <xdr:twoCellAnchor>
    <xdr:from>
      <xdr:col>3</xdr:col>
      <xdr:colOff>238125</xdr:colOff>
      <xdr:row>20</xdr:row>
      <xdr:rowOff>142875</xdr:rowOff>
    </xdr:from>
    <xdr:to>
      <xdr:col>4</xdr:col>
      <xdr:colOff>609600</xdr:colOff>
      <xdr:row>26</xdr:row>
      <xdr:rowOff>76200</xdr:rowOff>
    </xdr:to>
    <xdr:sp macro="" textlink="">
      <xdr:nvSpPr>
        <xdr:cNvPr id="1031" name="Text Box 7"/>
        <xdr:cNvSpPr txBox="1">
          <a:spLocks noChangeArrowheads="1"/>
        </xdr:cNvSpPr>
      </xdr:nvSpPr>
      <xdr:spPr bwMode="auto">
        <a:xfrm>
          <a:off x="3800475" y="3190875"/>
          <a:ext cx="1400175" cy="8477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Geneva"/>
            </a:rPr>
            <a:t>below are three ways of comparing models 2 and 3, the same result, a chisquare difference of 143K on 1 df</a:t>
          </a:r>
        </a:p>
      </xdr:txBody>
    </xdr:sp>
    <xdr:clientData/>
  </xdr:twoCellAnchor>
  <xdr:twoCellAnchor>
    <xdr:from>
      <xdr:col>0</xdr:col>
      <xdr:colOff>95250</xdr:colOff>
      <xdr:row>35</xdr:row>
      <xdr:rowOff>66675</xdr:rowOff>
    </xdr:from>
    <xdr:to>
      <xdr:col>1</xdr:col>
      <xdr:colOff>504825</xdr:colOff>
      <xdr:row>41</xdr:row>
      <xdr:rowOff>123825</xdr:rowOff>
    </xdr:to>
    <xdr:sp macro="" textlink="">
      <xdr:nvSpPr>
        <xdr:cNvPr id="1032" name="Text Box 8"/>
        <xdr:cNvSpPr txBox="1">
          <a:spLocks noChangeArrowheads="1"/>
        </xdr:cNvSpPr>
      </xdr:nvSpPr>
      <xdr:spPr bwMode="auto">
        <a:xfrm>
          <a:off x="95250" y="5400675"/>
          <a:ext cx="1143000" cy="97155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Geneva"/>
            </a:rPr>
            <a:t>To see where model 9 comes from, see the coefficient interpretation worksheet in this excel file.</a:t>
          </a:r>
        </a:p>
      </xdr:txBody>
    </xdr:sp>
    <xdr:clientData/>
  </xdr:twoCellAnchor>
  <xdr:twoCellAnchor>
    <xdr:from>
      <xdr:col>5</xdr:col>
      <xdr:colOff>504825</xdr:colOff>
      <xdr:row>71</xdr:row>
      <xdr:rowOff>57150</xdr:rowOff>
    </xdr:from>
    <xdr:to>
      <xdr:col>9</xdr:col>
      <xdr:colOff>714375</xdr:colOff>
      <xdr:row>85</xdr:row>
      <xdr:rowOff>114300</xdr:rowOff>
    </xdr:to>
    <xdr:sp macro="" textlink="">
      <xdr:nvSpPr>
        <xdr:cNvPr id="1033" name="Text Box 9"/>
        <xdr:cNvSpPr txBox="1">
          <a:spLocks noChangeArrowheads="1"/>
        </xdr:cNvSpPr>
      </xdr:nvSpPr>
      <xdr:spPr bwMode="auto">
        <a:xfrm>
          <a:off x="5829300" y="10877550"/>
          <a:ext cx="4152900" cy="219075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Geneva"/>
            </a:rPr>
            <a:t>How to calculate the Index of Dissimilarity:</a:t>
          </a:r>
        </a:p>
        <a:p>
          <a:pPr algn="l" rtl="0">
            <a:defRPr sz="1000"/>
          </a:pPr>
          <a:r>
            <a:rPr lang="en-US" sz="900" b="0" i="0" u="none" strike="noStrike" baseline="0">
              <a:solidFill>
                <a:srgbClr val="000000"/>
              </a:solidFill>
              <a:latin typeface="Geneva"/>
            </a:rPr>
            <a:t>ID=50*(Abs((predicted/N)-(actual/N))) summed over all cells, where predicted is the predicted value of the model, and actual is the actual count, and abs is the absolute value, and N is the count across all cells, in this case 523,542.</a:t>
          </a:r>
        </a:p>
        <a:p>
          <a:pPr algn="l" rtl="0">
            <a:defRPr sz="1000"/>
          </a:pPr>
          <a:endParaRPr lang="en-US" sz="900" b="0" i="0" u="none" strike="noStrike" baseline="0">
            <a:solidFill>
              <a:srgbClr val="000000"/>
            </a:solidFill>
            <a:latin typeface="Geneva"/>
          </a:endParaRPr>
        </a:p>
        <a:p>
          <a:pPr algn="l" rtl="0">
            <a:defRPr sz="1000"/>
          </a:pPr>
          <a:r>
            <a:rPr lang="en-US" sz="900" b="0" i="0" u="none" strike="noStrike" baseline="0">
              <a:solidFill>
                <a:srgbClr val="000000"/>
              </a:solidFill>
              <a:latin typeface="Geneva"/>
            </a:rPr>
            <a:t>ID can be interpreted as the percentage of all cases that would have to move to get from the predicted values to the actual values in each cell. ID tends to be very over-optimistic in terms of goodness of fit. Notice that the ID for the constant only model is 34%, meaning 66% of cases are correctly assigned by the constant only model. Yet the LRT and the BIC correctly identify constant only model as fitting terribly. The LRT and BIC do not tend to come into range for reasonable fit (models 7,8, and 9) until ID is very small, in this case less than 0.1%</a:t>
          </a:r>
        </a:p>
      </xdr:txBody>
    </xdr:sp>
    <xdr:clientData/>
  </xdr:twoCellAnchor>
  <xdr:twoCellAnchor>
    <xdr:from>
      <xdr:col>3</xdr:col>
      <xdr:colOff>200025</xdr:colOff>
      <xdr:row>94</xdr:row>
      <xdr:rowOff>104775</xdr:rowOff>
    </xdr:from>
    <xdr:to>
      <xdr:col>6</xdr:col>
      <xdr:colOff>876300</xdr:colOff>
      <xdr:row>100</xdr:row>
      <xdr:rowOff>142875</xdr:rowOff>
    </xdr:to>
    <xdr:sp macro="" textlink="">
      <xdr:nvSpPr>
        <xdr:cNvPr id="1034" name="Text Box 10"/>
        <xdr:cNvSpPr txBox="1">
          <a:spLocks noChangeArrowheads="1"/>
        </xdr:cNvSpPr>
      </xdr:nvSpPr>
      <xdr:spPr bwMode="auto">
        <a:xfrm>
          <a:off x="3762375" y="14430375"/>
          <a:ext cx="3333750" cy="9525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lnSpc>
              <a:spcPts val="900"/>
            </a:lnSpc>
            <a:defRPr sz="1000"/>
          </a:pPr>
          <a:r>
            <a:rPr lang="en-US" sz="900" b="0" i="0" u="none" strike="noStrike" baseline="0">
              <a:solidFill>
                <a:srgbClr val="000000"/>
              </a:solidFill>
              <a:latin typeface="Geneva"/>
            </a:rPr>
            <a:t>BIC prefers M1 to M2, because BIC smaller</a:t>
          </a:r>
        </a:p>
        <a:p>
          <a:pPr algn="l" rtl="0">
            <a:lnSpc>
              <a:spcPts val="900"/>
            </a:lnSpc>
            <a:defRPr sz="1000"/>
          </a:pPr>
          <a:r>
            <a:rPr lang="en-US" sz="900" b="0" i="0" u="none" strike="noStrike" baseline="0">
              <a:solidFill>
                <a:srgbClr val="000000"/>
              </a:solidFill>
              <a:latin typeface="Geneva"/>
            </a:rPr>
            <a:t>whereas LRT prefers M2 to M1 because 10 on 3 df is a high value for chisquare, tail probability about 1.8%. Which is a roundabout way of saying that BIC prefers parsimony more than LRT.</a:t>
          </a:r>
        </a:p>
      </xdr:txBody>
    </xdr:sp>
    <xdr:clientData/>
  </xdr:twoCellAnchor>
  <xdr:twoCellAnchor>
    <xdr:from>
      <xdr:col>0</xdr:col>
      <xdr:colOff>57150</xdr:colOff>
      <xdr:row>45</xdr:row>
      <xdr:rowOff>19050</xdr:rowOff>
    </xdr:from>
    <xdr:to>
      <xdr:col>1</xdr:col>
      <xdr:colOff>361950</xdr:colOff>
      <xdr:row>55</xdr:row>
      <xdr:rowOff>76200</xdr:rowOff>
    </xdr:to>
    <xdr:sp macro="" textlink="">
      <xdr:nvSpPr>
        <xdr:cNvPr id="1035" name="Text Box 11"/>
        <xdr:cNvSpPr txBox="1">
          <a:spLocks noChangeArrowheads="1"/>
        </xdr:cNvSpPr>
      </xdr:nvSpPr>
      <xdr:spPr bwMode="auto">
        <a:xfrm>
          <a:off x="57150" y="6877050"/>
          <a:ext cx="1038225" cy="158115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Geneva"/>
            </a:rPr>
            <a:t>U is the uniform linear by linear association model, a loglinear model, which we estimate in STATA. RC is a log multiplicative model which we estimate using LEM</a:t>
          </a:r>
        </a:p>
      </xdr:txBody>
    </xdr:sp>
    <xdr:clientData/>
  </xdr:twoCellAnchor>
  <xdr:twoCellAnchor>
    <xdr:from>
      <xdr:col>2</xdr:col>
      <xdr:colOff>247650</xdr:colOff>
      <xdr:row>49</xdr:row>
      <xdr:rowOff>19050</xdr:rowOff>
    </xdr:from>
    <xdr:to>
      <xdr:col>7</xdr:col>
      <xdr:colOff>542925</xdr:colOff>
      <xdr:row>54</xdr:row>
      <xdr:rowOff>47625</xdr:rowOff>
    </xdr:to>
    <xdr:sp macro="" textlink="">
      <xdr:nvSpPr>
        <xdr:cNvPr id="1036" name="Text Box 12"/>
        <xdr:cNvSpPr txBox="1">
          <a:spLocks noChangeArrowheads="1"/>
        </xdr:cNvSpPr>
      </xdr:nvSpPr>
      <xdr:spPr bwMode="auto">
        <a:xfrm>
          <a:off x="1714500" y="7486650"/>
          <a:ext cx="5991225" cy="79057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Geneva"/>
            </a:rPr>
            <a:t>Note that LEM reports a completely different log likelihood for the RC model than would correspond to the LRT that we have calculated (which means that LEM would calculate the log likelihood of the constant and the saturated model differently also). So I have generated the log likelihood of RC by starting with the LRT chisquare, to be consistent. After all, with the log likelihoods, it is the comparison between models rather than the value of one model that matters.</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10</xdr:col>
      <xdr:colOff>352425</xdr:colOff>
      <xdr:row>2</xdr:row>
      <xdr:rowOff>133350</xdr:rowOff>
    </xdr:from>
    <xdr:to>
      <xdr:col>17</xdr:col>
      <xdr:colOff>57150</xdr:colOff>
      <xdr:row>12</xdr:row>
      <xdr:rowOff>47625</xdr:rowOff>
    </xdr:to>
    <xdr:sp macro="" textlink="">
      <xdr:nvSpPr>
        <xdr:cNvPr id="15361" name="Text Box 1"/>
        <xdr:cNvSpPr txBox="1">
          <a:spLocks noChangeArrowheads="1"/>
        </xdr:cNvSpPr>
      </xdr:nvSpPr>
      <xdr:spPr bwMode="auto">
        <a:xfrm>
          <a:off x="6448425" y="438150"/>
          <a:ext cx="3971925" cy="143827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Geneva"/>
            </a:rPr>
            <a:t>This is our husb ed by wife ed 4x4 dataset, which we used before. In our model fitting strategy, we did not rely very much on the ordinal nature of the variables. Here we will.</a:t>
          </a:r>
        </a:p>
        <a:p>
          <a:pPr algn="l" rtl="0">
            <a:defRPr sz="1000"/>
          </a:pPr>
          <a:endParaRPr lang="en-US" sz="900" b="0" i="0" u="none" strike="noStrike" baseline="0">
            <a:solidFill>
              <a:srgbClr val="000000"/>
            </a:solidFill>
            <a:latin typeface="Geneva"/>
          </a:endParaRPr>
        </a:p>
        <a:p>
          <a:pPr algn="l" rtl="0">
            <a:defRPr sz="1000"/>
          </a:pPr>
          <a:r>
            <a:rPr lang="en-US" sz="900" b="0" i="0" u="none" strike="noStrike" baseline="0">
              <a:solidFill>
                <a:srgbClr val="000000"/>
              </a:solidFill>
              <a:latin typeface="Geneva"/>
            </a:rPr>
            <a:t>The best treatment of the linear by linear, the R+C (of which the linear by linear is a variant) and other related models like the RC model, see Clogg and Shihadeh. Most of the original work on these types of models is due to Leo Goodman.</a:t>
          </a:r>
        </a:p>
      </xdr:txBody>
    </xdr:sp>
    <xdr:clientData/>
  </xdr:twoCellAnchor>
  <xdr:twoCellAnchor>
    <xdr:from>
      <xdr:col>0</xdr:col>
      <xdr:colOff>180975</xdr:colOff>
      <xdr:row>17</xdr:row>
      <xdr:rowOff>66675</xdr:rowOff>
    </xdr:from>
    <xdr:to>
      <xdr:col>3</xdr:col>
      <xdr:colOff>323850</xdr:colOff>
      <xdr:row>26</xdr:row>
      <xdr:rowOff>0</xdr:rowOff>
    </xdr:to>
    <xdr:sp macro="" textlink="">
      <xdr:nvSpPr>
        <xdr:cNvPr id="15362" name="Text Box 2"/>
        <xdr:cNvSpPr txBox="1">
          <a:spLocks noChangeArrowheads="1"/>
        </xdr:cNvSpPr>
      </xdr:nvSpPr>
      <xdr:spPr bwMode="auto">
        <a:xfrm>
          <a:off x="180975" y="2657475"/>
          <a:ext cx="1971675" cy="13049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Geneva"/>
            </a:rPr>
            <a:t>Ignore the constant term, take the row and col coefficients to be anything, in this case 1,2,3, excluding the last category.</a:t>
          </a:r>
        </a:p>
        <a:p>
          <a:pPr algn="l" rtl="0">
            <a:defRPr sz="1000"/>
          </a:pPr>
          <a:endParaRPr lang="en-US" sz="900" b="0" i="0" u="none" strike="noStrike" baseline="0">
            <a:solidFill>
              <a:srgbClr val="000000"/>
            </a:solidFill>
            <a:latin typeface="Geneva"/>
          </a:endParaRPr>
        </a:p>
        <a:p>
          <a:pPr algn="l" rtl="0">
            <a:defRPr sz="1000"/>
          </a:pPr>
          <a:r>
            <a:rPr lang="en-US" sz="900" b="0" i="0" u="none" strike="noStrike" baseline="0">
              <a:solidFill>
                <a:srgbClr val="000000"/>
              </a:solidFill>
              <a:latin typeface="Geneva"/>
            </a:rPr>
            <a:t>Take the log odds ratio of predicted values for every adjacent 2X2 table by taking A+D-(B+C)</a:t>
          </a:r>
        </a:p>
        <a:p>
          <a:pPr algn="l" rtl="0">
            <a:defRPr sz="1000"/>
          </a:pPr>
          <a:endParaRPr lang="en-US" sz="900" b="0" i="0" u="none" strike="noStrike" baseline="0">
            <a:solidFill>
              <a:srgbClr val="000000"/>
            </a:solidFill>
            <a:latin typeface="Geneva"/>
          </a:endParaRPr>
        </a:p>
      </xdr:txBody>
    </xdr:sp>
    <xdr:clientData/>
  </xdr:twoCellAnchor>
  <xdr:twoCellAnchor>
    <xdr:from>
      <xdr:col>14</xdr:col>
      <xdr:colOff>590550</xdr:colOff>
      <xdr:row>15</xdr:row>
      <xdr:rowOff>133350</xdr:rowOff>
    </xdr:from>
    <xdr:to>
      <xdr:col>18</xdr:col>
      <xdr:colOff>28575</xdr:colOff>
      <xdr:row>22</xdr:row>
      <xdr:rowOff>142875</xdr:rowOff>
    </xdr:to>
    <xdr:sp macro="" textlink="">
      <xdr:nvSpPr>
        <xdr:cNvPr id="15363" name="Text Box 3"/>
        <xdr:cNvSpPr txBox="1">
          <a:spLocks noChangeArrowheads="1"/>
        </xdr:cNvSpPr>
      </xdr:nvSpPr>
      <xdr:spPr bwMode="auto">
        <a:xfrm>
          <a:off x="9124950" y="2419350"/>
          <a:ext cx="1876425" cy="10763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Geneva"/>
            </a:rPr>
            <a:t>Local table log odds ratios all 0 (meaning odds ratios=1), as we would expect for the independence model</a:t>
          </a:r>
        </a:p>
      </xdr:txBody>
    </xdr:sp>
    <xdr:clientData/>
  </xdr:twoCellAnchor>
  <xdr:twoCellAnchor>
    <xdr:from>
      <xdr:col>0</xdr:col>
      <xdr:colOff>123825</xdr:colOff>
      <xdr:row>30</xdr:row>
      <xdr:rowOff>57150</xdr:rowOff>
    </xdr:from>
    <xdr:to>
      <xdr:col>3</xdr:col>
      <xdr:colOff>361950</xdr:colOff>
      <xdr:row>37</xdr:row>
      <xdr:rowOff>104775</xdr:rowOff>
    </xdr:to>
    <xdr:sp macro="" textlink="">
      <xdr:nvSpPr>
        <xdr:cNvPr id="15364" name="Text Box 4"/>
        <xdr:cNvSpPr txBox="1">
          <a:spLocks noChangeArrowheads="1"/>
        </xdr:cNvSpPr>
      </xdr:nvSpPr>
      <xdr:spPr bwMode="auto">
        <a:xfrm>
          <a:off x="123825" y="4629150"/>
          <a:ext cx="2066925" cy="11144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Geneva"/>
            </a:rPr>
            <a:t>For the Linear by Linear Association Model, Start with the Score, which is simply the ordinal Row values multiplied by the ordinal Column values</a:t>
          </a:r>
        </a:p>
      </xdr:txBody>
    </xdr:sp>
    <xdr:clientData/>
  </xdr:twoCellAnchor>
  <xdr:twoCellAnchor>
    <xdr:from>
      <xdr:col>14</xdr:col>
      <xdr:colOff>600075</xdr:colOff>
      <xdr:row>29</xdr:row>
      <xdr:rowOff>104775</xdr:rowOff>
    </xdr:from>
    <xdr:to>
      <xdr:col>18</xdr:col>
      <xdr:colOff>209550</xdr:colOff>
      <xdr:row>36</xdr:row>
      <xdr:rowOff>19050</xdr:rowOff>
    </xdr:to>
    <xdr:sp macro="" textlink="">
      <xdr:nvSpPr>
        <xdr:cNvPr id="15365" name="Text Box 5"/>
        <xdr:cNvSpPr txBox="1">
          <a:spLocks noChangeArrowheads="1"/>
        </xdr:cNvSpPr>
      </xdr:nvSpPr>
      <xdr:spPr bwMode="auto">
        <a:xfrm>
          <a:off x="9134475" y="4524375"/>
          <a:ext cx="2047875" cy="98107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Geneva"/>
            </a:rPr>
            <a:t>At Baseline, the Linear by linear model describes a log odds ratio of 1, or constant odds ratio of e across each neighborhing 2x2 table of predicted values.</a:t>
          </a:r>
        </a:p>
      </xdr:txBody>
    </xdr:sp>
    <xdr:clientData/>
  </xdr:twoCellAnchor>
  <xdr:twoCellAnchor>
    <xdr:from>
      <xdr:col>0</xdr:col>
      <xdr:colOff>123825</xdr:colOff>
      <xdr:row>42</xdr:row>
      <xdr:rowOff>57150</xdr:rowOff>
    </xdr:from>
    <xdr:to>
      <xdr:col>3</xdr:col>
      <xdr:colOff>361950</xdr:colOff>
      <xdr:row>49</xdr:row>
      <xdr:rowOff>104775</xdr:rowOff>
    </xdr:to>
    <xdr:sp macro="" textlink="">
      <xdr:nvSpPr>
        <xdr:cNvPr id="15366" name="Text Box 6"/>
        <xdr:cNvSpPr txBox="1">
          <a:spLocks noChangeArrowheads="1"/>
        </xdr:cNvSpPr>
      </xdr:nvSpPr>
      <xdr:spPr bwMode="auto">
        <a:xfrm>
          <a:off x="123825" y="6457950"/>
          <a:ext cx="2066925" cy="11144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Geneva"/>
            </a:rPr>
            <a:t>When we enter the score variable as a continuous variable in our Poisson regression, the coefficient turns out to be nearly exactly 1.</a:t>
          </a:r>
        </a:p>
      </xdr:txBody>
    </xdr:sp>
    <xdr:clientData/>
  </xdr:twoCellAnchor>
  <xdr:twoCellAnchor>
    <xdr:from>
      <xdr:col>14</xdr:col>
      <xdr:colOff>600075</xdr:colOff>
      <xdr:row>41</xdr:row>
      <xdr:rowOff>104775</xdr:rowOff>
    </xdr:from>
    <xdr:to>
      <xdr:col>18</xdr:col>
      <xdr:colOff>209550</xdr:colOff>
      <xdr:row>48</xdr:row>
      <xdr:rowOff>19050</xdr:rowOff>
    </xdr:to>
    <xdr:sp macro="" textlink="">
      <xdr:nvSpPr>
        <xdr:cNvPr id="15367" name="Text Box 7"/>
        <xdr:cNvSpPr txBox="1">
          <a:spLocks noChangeArrowheads="1"/>
        </xdr:cNvSpPr>
      </xdr:nvSpPr>
      <xdr:spPr bwMode="auto">
        <a:xfrm>
          <a:off x="9134475" y="6353175"/>
          <a:ext cx="2047875" cy="98107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Geneva"/>
            </a:rPr>
            <a:t>The coefficient of the score variable describes the assoction between row and column, yielding constant log odds ratios for local tables of predicted values.</a:t>
          </a:r>
        </a:p>
      </xdr:txBody>
    </xdr:sp>
    <xdr:clientData/>
  </xdr:twoCellAnchor>
  <xdr:twoCellAnchor>
    <xdr:from>
      <xdr:col>0</xdr:col>
      <xdr:colOff>104775</xdr:colOff>
      <xdr:row>52</xdr:row>
      <xdr:rowOff>114300</xdr:rowOff>
    </xdr:from>
    <xdr:to>
      <xdr:col>3</xdr:col>
      <xdr:colOff>371475</xdr:colOff>
      <xdr:row>67</xdr:row>
      <xdr:rowOff>57150</xdr:rowOff>
    </xdr:to>
    <xdr:sp macro="" textlink="">
      <xdr:nvSpPr>
        <xdr:cNvPr id="15368" name="Text Box 8"/>
        <xdr:cNvSpPr txBox="1">
          <a:spLocks noChangeArrowheads="1"/>
        </xdr:cNvSpPr>
      </xdr:nvSpPr>
      <xdr:spPr bwMode="auto">
        <a:xfrm>
          <a:off x="104775" y="8039100"/>
          <a:ext cx="2095500" cy="222885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Geneva"/>
            </a:rPr>
            <a:t>The linear by linear association depends on the order of the categories and the distance between them. Up to now we have been using 1,2,3 and 4, but why would we assume the educational categories are equidistant from each other? Let's assume that the categories would be better represented by average years of school in each group, 10.5 years in category 1, 12 years in category 2, 14 years in category 3, 17.5 years in category 4.</a:t>
          </a:r>
        </a:p>
      </xdr:txBody>
    </xdr:sp>
    <xdr:clientData/>
  </xdr:twoCellAnchor>
  <xdr:twoCellAnchor>
    <xdr:from>
      <xdr:col>1</xdr:col>
      <xdr:colOff>171450</xdr:colOff>
      <xdr:row>78</xdr:row>
      <xdr:rowOff>9525</xdr:rowOff>
    </xdr:from>
    <xdr:to>
      <xdr:col>7</xdr:col>
      <xdr:colOff>542925</xdr:colOff>
      <xdr:row>138</xdr:row>
      <xdr:rowOff>95250</xdr:rowOff>
    </xdr:to>
    <xdr:sp macro="" textlink="">
      <xdr:nvSpPr>
        <xdr:cNvPr id="15371" name="Text Box 11"/>
        <xdr:cNvSpPr txBox="1">
          <a:spLocks noChangeArrowheads="1"/>
        </xdr:cNvSpPr>
      </xdr:nvSpPr>
      <xdr:spPr bwMode="auto">
        <a:xfrm>
          <a:off x="781050" y="11896725"/>
          <a:ext cx="4029075" cy="92297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en-US" sz="800" b="0" i="0" u="none" strike="noStrike" baseline="0">
              <a:solidFill>
                <a:srgbClr val="000000"/>
              </a:solidFill>
              <a:latin typeface="Courier"/>
            </a:rPr>
            <a:t>*First, the independence model</a:t>
          </a:r>
        </a:p>
        <a:p>
          <a:pPr algn="l" rtl="0">
            <a:defRPr sz="1000"/>
          </a:pPr>
          <a:r>
            <a:rPr lang="en-US" sz="800" b="0" i="0" u="none" strike="noStrike" baseline="0">
              <a:solidFill>
                <a:srgbClr val="000000"/>
              </a:solidFill>
              <a:latin typeface="Courier"/>
            </a:rPr>
            <a:t>. desmat: poisson count hed wed</a:t>
          </a:r>
        </a:p>
        <a:p>
          <a:pPr algn="l" rtl="0">
            <a:defRPr sz="1000"/>
          </a:pPr>
          <a:r>
            <a:rPr lang="en-US" sz="800" b="0" i="0" u="none" strike="noStrike" baseline="0">
              <a:solidFill>
                <a:srgbClr val="000000"/>
              </a:solidFill>
              <a:latin typeface="Courier"/>
            </a:rPr>
            <a:t>--------------------------------------------------</a:t>
          </a:r>
        </a:p>
        <a:p>
          <a:pPr algn="l" rtl="0">
            <a:defRPr sz="1000"/>
          </a:pPr>
          <a:r>
            <a:rPr lang="en-US" sz="800" b="0" i="0" u="none" strike="noStrike" baseline="0">
              <a:solidFill>
                <a:srgbClr val="000000"/>
              </a:solidFill>
              <a:latin typeface="Courier"/>
            </a:rPr>
            <a:t>   Poisson regression</a:t>
          </a:r>
        </a:p>
        <a:p>
          <a:pPr algn="l" rtl="0">
            <a:defRPr sz="1000"/>
          </a:pPr>
          <a:r>
            <a:rPr lang="en-US" sz="800" b="0" i="0" u="none" strike="noStrike" baseline="0">
              <a:solidFill>
                <a:srgbClr val="000000"/>
              </a:solidFill>
              <a:latin typeface="Courier"/>
            </a:rPr>
            <a:t>--------------------------------------------------</a:t>
          </a:r>
        </a:p>
        <a:p>
          <a:pPr algn="l" rtl="0">
            <a:defRPr sz="1000"/>
          </a:pPr>
          <a:r>
            <a:rPr lang="en-US" sz="800" b="0" i="0" u="none" strike="noStrike" baseline="0">
              <a:solidFill>
                <a:srgbClr val="000000"/>
              </a:solidFill>
              <a:latin typeface="Courier"/>
            </a:rPr>
            <a:t>   Dependent variable                       count</a:t>
          </a:r>
        </a:p>
        <a:p>
          <a:pPr algn="l" rtl="0">
            <a:defRPr sz="1000"/>
          </a:pPr>
          <a:r>
            <a:rPr lang="en-US" sz="800" b="0" i="0" u="none" strike="noStrike" baseline="0">
              <a:solidFill>
                <a:srgbClr val="000000"/>
              </a:solidFill>
              <a:latin typeface="Courier"/>
            </a:rPr>
            <a:t>   Optimization:                               ml</a:t>
          </a:r>
        </a:p>
        <a:p>
          <a:pPr algn="l" rtl="0">
            <a:defRPr sz="1000"/>
          </a:pPr>
          <a:r>
            <a:rPr lang="en-US" sz="800" b="0" i="0" u="none" strike="noStrike" baseline="0">
              <a:solidFill>
                <a:srgbClr val="000000"/>
              </a:solidFill>
              <a:latin typeface="Courier"/>
            </a:rPr>
            <a:t>   Number of observations:                     16</a:t>
          </a:r>
        </a:p>
        <a:p>
          <a:pPr algn="l" rtl="0">
            <a:defRPr sz="1000"/>
          </a:pPr>
          <a:r>
            <a:rPr lang="en-US" sz="800" b="0" i="0" u="none" strike="noStrike" baseline="0">
              <a:solidFill>
                <a:srgbClr val="000000"/>
              </a:solidFill>
              <a:latin typeface="Courier"/>
            </a:rPr>
            <a:t>   Initial log likelihood:            -221501.223</a:t>
          </a:r>
        </a:p>
        <a:p>
          <a:pPr algn="l" rtl="0">
            <a:defRPr sz="1000"/>
          </a:pPr>
          <a:r>
            <a:rPr lang="en-US" sz="800" b="0" i="0" u="none" strike="noStrike" baseline="0">
              <a:solidFill>
                <a:srgbClr val="000000"/>
              </a:solidFill>
              <a:latin typeface="Courier"/>
            </a:rPr>
            <a:t>   Log likelihood:                    -113882.425</a:t>
          </a:r>
        </a:p>
        <a:p>
          <a:pPr algn="l" rtl="0">
            <a:defRPr sz="1000"/>
          </a:pPr>
          <a:r>
            <a:rPr lang="en-US" sz="800" b="0" i="0" u="none" strike="noStrike" baseline="0">
              <a:solidFill>
                <a:srgbClr val="000000"/>
              </a:solidFill>
              <a:latin typeface="Courier"/>
            </a:rPr>
            <a:t>   LR chi square:                      215237.595</a:t>
          </a:r>
        </a:p>
        <a:p>
          <a:pPr algn="l" rtl="0">
            <a:defRPr sz="1000"/>
          </a:pPr>
          <a:r>
            <a:rPr lang="en-US" sz="800" b="0" i="0" u="none" strike="noStrike" baseline="0">
              <a:solidFill>
                <a:srgbClr val="000000"/>
              </a:solidFill>
              <a:latin typeface="Courier"/>
            </a:rPr>
            <a:t>   Model degrees of freedom:                    6</a:t>
          </a:r>
        </a:p>
        <a:p>
          <a:pPr algn="l" rtl="0">
            <a:defRPr sz="1000"/>
          </a:pPr>
          <a:r>
            <a:rPr lang="en-US" sz="800" b="0" i="0" u="none" strike="noStrike" baseline="0">
              <a:solidFill>
                <a:srgbClr val="000000"/>
              </a:solidFill>
              <a:latin typeface="Courier"/>
            </a:rPr>
            <a:t>   Pseudo R-squared:                        0.486</a:t>
          </a:r>
        </a:p>
        <a:p>
          <a:pPr algn="l" rtl="0">
            <a:defRPr sz="1000"/>
          </a:pPr>
          <a:r>
            <a:rPr lang="en-US" sz="800" b="0" i="0" u="none" strike="noStrike" baseline="0">
              <a:solidFill>
                <a:srgbClr val="000000"/>
              </a:solidFill>
              <a:latin typeface="Courier"/>
            </a:rPr>
            <a:t>   Prob:                                    0.000</a:t>
          </a:r>
        </a:p>
        <a:p>
          <a:pPr algn="l" rtl="0">
            <a:defRPr sz="1000"/>
          </a:pPr>
          <a:r>
            <a:rPr lang="en-US" sz="800" b="0" i="0" u="none" strike="noStrike" baseline="0">
              <a:solidFill>
                <a:srgbClr val="000000"/>
              </a:solidFill>
              <a:latin typeface="Courier"/>
            </a:rPr>
            <a:t>--------------------------------------------------</a:t>
          </a:r>
        </a:p>
        <a:p>
          <a:pPr algn="l" rtl="0">
            <a:defRPr sz="1000"/>
          </a:pPr>
          <a:r>
            <a:rPr lang="en-US" sz="800" b="0" i="0" u="none" strike="noStrike" baseline="0">
              <a:solidFill>
                <a:srgbClr val="000000"/>
              </a:solidFill>
              <a:latin typeface="Courier"/>
            </a:rPr>
            <a:t>nr Effect                      Coeff         s.e.</a:t>
          </a:r>
        </a:p>
        <a:p>
          <a:pPr algn="l" rtl="0">
            <a:defRPr sz="1000"/>
          </a:pPr>
          <a:r>
            <a:rPr lang="en-US" sz="800" b="0" i="0" u="none" strike="noStrike" baseline="0">
              <a:solidFill>
                <a:srgbClr val="000000"/>
              </a:solidFill>
              <a:latin typeface="Courier"/>
            </a:rPr>
            <a:t>--------------------------------------------------</a:t>
          </a:r>
        </a:p>
        <a:p>
          <a:pPr algn="l" rtl="0">
            <a:defRPr sz="1000"/>
          </a:pPr>
          <a:r>
            <a:rPr lang="en-US" sz="800" b="0" i="0" u="none" strike="noStrike" baseline="0">
              <a:solidFill>
                <a:srgbClr val="000000"/>
              </a:solidFill>
              <a:latin typeface="Courier"/>
            </a:rPr>
            <a:t>   count</a:t>
          </a:r>
        </a:p>
        <a:p>
          <a:pPr algn="l" rtl="0">
            <a:defRPr sz="1000"/>
          </a:pPr>
          <a:r>
            <a:rPr lang="en-US" sz="800" b="0" i="0" u="none" strike="noStrike" baseline="0">
              <a:solidFill>
                <a:srgbClr val="000000"/>
              </a:solidFill>
              <a:latin typeface="Courier"/>
            </a:rPr>
            <a:t>     hed</a:t>
          </a:r>
        </a:p>
        <a:p>
          <a:pPr algn="l" rtl="0">
            <a:defRPr sz="1000"/>
          </a:pPr>
          <a:r>
            <a:rPr lang="en-US" sz="800" b="0" i="0" u="none" strike="noStrike" baseline="0">
              <a:solidFill>
                <a:srgbClr val="000000"/>
              </a:solidFill>
              <a:latin typeface="Courier"/>
            </a:rPr>
            <a:t>1      2                       1.072***     0.004</a:t>
          </a:r>
        </a:p>
        <a:p>
          <a:pPr algn="l" rtl="0">
            <a:defRPr sz="1000"/>
          </a:pPr>
          <a:r>
            <a:rPr lang="en-US" sz="800" b="0" i="0" u="none" strike="noStrike" baseline="0">
              <a:solidFill>
                <a:srgbClr val="000000"/>
              </a:solidFill>
              <a:latin typeface="Courier"/>
            </a:rPr>
            <a:t>2      3                       0.595***     0.005</a:t>
          </a:r>
        </a:p>
        <a:p>
          <a:pPr algn="l" rtl="0">
            <a:defRPr sz="1000"/>
          </a:pPr>
          <a:r>
            <a:rPr lang="en-US" sz="800" b="0" i="0" u="none" strike="noStrike" baseline="0">
              <a:solidFill>
                <a:srgbClr val="000000"/>
              </a:solidFill>
              <a:latin typeface="Courier"/>
            </a:rPr>
            <a:t>3      4                       0.235***     0.005</a:t>
          </a:r>
        </a:p>
        <a:p>
          <a:pPr algn="l" rtl="0">
            <a:defRPr sz="1000"/>
          </a:pPr>
          <a:r>
            <a:rPr lang="en-US" sz="800" b="0" i="0" u="none" strike="noStrike" baseline="0">
              <a:solidFill>
                <a:srgbClr val="000000"/>
              </a:solidFill>
              <a:latin typeface="Courier"/>
            </a:rPr>
            <a:t>     wed</a:t>
          </a:r>
        </a:p>
        <a:p>
          <a:pPr algn="l" rtl="0">
            <a:defRPr sz="1000"/>
          </a:pPr>
          <a:r>
            <a:rPr lang="en-US" sz="800" b="0" i="0" u="none" strike="noStrike" baseline="0">
              <a:solidFill>
                <a:srgbClr val="000000"/>
              </a:solidFill>
              <a:latin typeface="Courier"/>
            </a:rPr>
            <a:t>4      2                       1.229***     0.004</a:t>
          </a:r>
        </a:p>
        <a:p>
          <a:pPr algn="l" rtl="0">
            <a:defRPr sz="1000"/>
          </a:pPr>
          <a:r>
            <a:rPr lang="en-US" sz="800" b="0" i="0" u="none" strike="noStrike" baseline="0">
              <a:solidFill>
                <a:srgbClr val="000000"/>
              </a:solidFill>
              <a:latin typeface="Courier"/>
            </a:rPr>
            <a:t>5      3                       0.733***     0.005</a:t>
          </a:r>
        </a:p>
        <a:p>
          <a:pPr algn="l" rtl="0">
            <a:defRPr sz="1000"/>
          </a:pPr>
          <a:r>
            <a:rPr lang="en-US" sz="800" b="0" i="0" u="none" strike="noStrike" baseline="0">
              <a:solidFill>
                <a:srgbClr val="000000"/>
              </a:solidFill>
              <a:latin typeface="Courier"/>
            </a:rPr>
            <a:t>6      4                       0.142***     0.005</a:t>
          </a:r>
        </a:p>
        <a:p>
          <a:pPr algn="l" rtl="0">
            <a:defRPr sz="1000"/>
          </a:pPr>
          <a:r>
            <a:rPr lang="en-US" sz="800" b="0" i="0" u="none" strike="noStrike" baseline="0">
              <a:solidFill>
                <a:srgbClr val="000000"/>
              </a:solidFill>
              <a:latin typeface="Courier"/>
            </a:rPr>
            <a:t>7    _cons                     9.187***     0.005</a:t>
          </a:r>
        </a:p>
        <a:p>
          <a:pPr algn="l" rtl="0">
            <a:defRPr sz="1000"/>
          </a:pPr>
          <a:r>
            <a:rPr lang="en-US" sz="800" b="0" i="0" u="none" strike="noStrike" baseline="0">
              <a:solidFill>
                <a:srgbClr val="000000"/>
              </a:solidFill>
              <a:latin typeface="Courier"/>
            </a:rPr>
            <a:t>--------------------------------------------------</a:t>
          </a:r>
        </a:p>
        <a:p>
          <a:pPr algn="l" rtl="0">
            <a:defRPr sz="1000"/>
          </a:pPr>
          <a:r>
            <a:rPr lang="en-US" sz="800" b="0" i="0" u="none" strike="noStrike" baseline="0">
              <a:solidFill>
                <a:srgbClr val="000000"/>
              </a:solidFill>
              <a:latin typeface="Courier"/>
            </a:rPr>
            <a:t>*   p &lt; .05</a:t>
          </a:r>
        </a:p>
        <a:p>
          <a:pPr algn="l" rtl="0">
            <a:defRPr sz="1000"/>
          </a:pPr>
          <a:r>
            <a:rPr lang="en-US" sz="800" b="0" i="0" u="none" strike="noStrike" baseline="0">
              <a:solidFill>
                <a:srgbClr val="000000"/>
              </a:solidFill>
              <a:latin typeface="Courier"/>
            </a:rPr>
            <a:t>**  p &lt; .01</a:t>
          </a:r>
        </a:p>
        <a:p>
          <a:pPr algn="l" rtl="0">
            <a:defRPr sz="1000"/>
          </a:pPr>
          <a:r>
            <a:rPr lang="en-US" sz="800" b="0" i="0" u="none" strike="noStrike" baseline="0">
              <a:solidFill>
                <a:srgbClr val="000000"/>
              </a:solidFill>
              <a:latin typeface="Courier"/>
            </a:rPr>
            <a:t>*** p &lt; .001</a:t>
          </a:r>
        </a:p>
        <a:p>
          <a:pPr algn="l" rtl="0">
            <a:defRPr sz="1000"/>
          </a:pPr>
          <a:endParaRPr lang="en-US" sz="800" b="0" i="0" u="none" strike="noStrike" baseline="0">
            <a:solidFill>
              <a:srgbClr val="000000"/>
            </a:solidFill>
            <a:latin typeface="Courier"/>
          </a:endParaRPr>
        </a:p>
        <a:p>
          <a:pPr algn="l" rtl="0">
            <a:defRPr sz="1000"/>
          </a:pPr>
          <a:r>
            <a:rPr lang="en-US" sz="800" b="0" i="0" u="none" strike="noStrike" baseline="0">
              <a:solidFill>
                <a:srgbClr val="000000"/>
              </a:solidFill>
              <a:latin typeface="Courier"/>
            </a:rPr>
            <a:t>. poisgof</a:t>
          </a:r>
        </a:p>
        <a:p>
          <a:pPr algn="l" rtl="0">
            <a:defRPr sz="1000"/>
          </a:pPr>
          <a:endParaRPr lang="en-US" sz="800" b="0" i="0" u="none" strike="noStrike" baseline="0">
            <a:solidFill>
              <a:srgbClr val="000000"/>
            </a:solidFill>
            <a:latin typeface="Courier"/>
          </a:endParaRPr>
        </a:p>
        <a:p>
          <a:pPr algn="l" rtl="0">
            <a:defRPr sz="1000"/>
          </a:pPr>
          <a:r>
            <a:rPr lang="en-US" sz="800" b="0" i="0" u="none" strike="noStrike" baseline="0">
              <a:solidFill>
                <a:srgbClr val="000000"/>
              </a:solidFill>
              <a:latin typeface="Courier"/>
            </a:rPr>
            <a:t>         Goodness-of-fit chi2  =  227578.9</a:t>
          </a:r>
        </a:p>
        <a:p>
          <a:pPr algn="l" rtl="0">
            <a:defRPr sz="1000"/>
          </a:pPr>
          <a:r>
            <a:rPr lang="en-US" sz="800" b="0" i="0" u="none" strike="noStrike" baseline="0">
              <a:solidFill>
                <a:srgbClr val="000000"/>
              </a:solidFill>
              <a:latin typeface="Courier"/>
            </a:rPr>
            <a:t>         Prob &gt; chi2(9)        =    0.0000</a:t>
          </a:r>
        </a:p>
        <a:p>
          <a:pPr algn="l" rtl="0">
            <a:defRPr sz="1000"/>
          </a:pPr>
          <a:endParaRPr lang="en-US" sz="800" b="0" i="0" u="none" strike="noStrike" baseline="0">
            <a:solidFill>
              <a:srgbClr val="000000"/>
            </a:solidFill>
            <a:latin typeface="Courier"/>
          </a:endParaRPr>
        </a:p>
        <a:p>
          <a:pPr algn="l" rtl="0">
            <a:defRPr sz="1000"/>
          </a:pPr>
          <a:r>
            <a:rPr lang="en-US" sz="800" b="0" i="0" u="none" strike="noStrike" baseline="0">
              <a:solidFill>
                <a:srgbClr val="000000"/>
              </a:solidFill>
              <a:latin typeface="Courier"/>
            </a:rPr>
            <a:t>. predict P_indep</a:t>
          </a:r>
        </a:p>
        <a:p>
          <a:pPr algn="l" rtl="0">
            <a:defRPr sz="1000"/>
          </a:pPr>
          <a:r>
            <a:rPr lang="en-US" sz="800" b="0" i="0" u="none" strike="noStrike" baseline="0">
              <a:solidFill>
                <a:srgbClr val="000000"/>
              </a:solidFill>
              <a:latin typeface="Courier"/>
            </a:rPr>
            <a:t>(option n assumed; predicted number of events)</a:t>
          </a:r>
        </a:p>
        <a:p>
          <a:pPr algn="l" rtl="0">
            <a:defRPr sz="1000"/>
          </a:pPr>
          <a:endParaRPr lang="en-US" sz="800" b="0" i="0" u="none" strike="noStrike" baseline="0">
            <a:solidFill>
              <a:srgbClr val="000000"/>
            </a:solidFill>
            <a:latin typeface="Courier"/>
          </a:endParaRPr>
        </a:p>
        <a:p>
          <a:pPr algn="l" rtl="0">
            <a:defRPr sz="1000"/>
          </a:pPr>
          <a:r>
            <a:rPr lang="en-US" sz="800" b="0" i="0" u="none" strike="noStrike" baseline="0">
              <a:solidFill>
                <a:srgbClr val="000000"/>
              </a:solidFill>
              <a:latin typeface="Courier"/>
            </a:rPr>
            <a:t>. table hed wed, contents(sum P_indep)</a:t>
          </a:r>
        </a:p>
        <a:p>
          <a:pPr algn="l" rtl="0">
            <a:defRPr sz="1000"/>
          </a:pPr>
          <a:endParaRPr lang="en-US" sz="800" b="0" i="0" u="none" strike="noStrike" baseline="0">
            <a:solidFill>
              <a:srgbClr val="000000"/>
            </a:solidFill>
            <a:latin typeface="Courier"/>
          </a:endParaRPr>
        </a:p>
        <a:p>
          <a:pPr algn="l" rtl="0">
            <a:defRPr sz="1000"/>
          </a:pPr>
          <a:r>
            <a:rPr lang="en-US" sz="800" b="0" i="0" u="none" strike="noStrike" baseline="0">
              <a:solidFill>
                <a:srgbClr val="000000"/>
              </a:solidFill>
              <a:latin typeface="Courier"/>
            </a:rPr>
            <a:t>--------------------------------------------------</a:t>
          </a:r>
        </a:p>
        <a:p>
          <a:pPr algn="l" rtl="0">
            <a:defRPr sz="1000"/>
          </a:pPr>
          <a:r>
            <a:rPr lang="en-US" sz="800" b="0" i="0" u="none" strike="noStrike" baseline="0">
              <a:solidFill>
                <a:srgbClr val="000000"/>
              </a:solidFill>
              <a:latin typeface="Courier"/>
            </a:rPr>
            <a:t>          |                  wed                  </a:t>
          </a:r>
        </a:p>
        <a:p>
          <a:pPr algn="l" rtl="0">
            <a:defRPr sz="1000"/>
          </a:pPr>
          <a:r>
            <a:rPr lang="en-US" sz="800" b="0" i="0" u="none" strike="noStrike" baseline="0">
              <a:solidFill>
                <a:srgbClr val="000000"/>
              </a:solidFill>
              <a:latin typeface="Courier"/>
            </a:rPr>
            <a:t>      hed |        1         2         3         4</a:t>
          </a:r>
        </a:p>
        <a:p>
          <a:pPr algn="l" rtl="0">
            <a:defRPr sz="1000"/>
          </a:pPr>
          <a:r>
            <a:rPr lang="en-US" sz="800" b="0" i="0" u="none" strike="noStrike" baseline="0">
              <a:solidFill>
                <a:srgbClr val="000000"/>
              </a:solidFill>
              <a:latin typeface="Courier"/>
            </a:rPr>
            <a:t>----------+---------------------------------------</a:t>
          </a:r>
        </a:p>
        <a:p>
          <a:pPr algn="l" rtl="0">
            <a:defRPr sz="1000"/>
          </a:pPr>
          <a:r>
            <a:rPr lang="en-US" sz="800" b="0" i="0" u="none" strike="noStrike" baseline="0">
              <a:solidFill>
                <a:srgbClr val="000000"/>
              </a:solidFill>
              <a:latin typeface="Courier"/>
            </a:rPr>
            <a:t>        1 | 9773.551  33398.43  20349.32   11263.7</a:t>
          </a:r>
        </a:p>
        <a:p>
          <a:pPr algn="l" rtl="0">
            <a:defRPr sz="1000"/>
          </a:pPr>
          <a:r>
            <a:rPr lang="en-US" sz="800" b="0" i="0" u="none" strike="noStrike" baseline="0">
              <a:solidFill>
                <a:srgbClr val="000000"/>
              </a:solidFill>
              <a:latin typeface="Courier"/>
            </a:rPr>
            <a:t>        2 |  28552.2  97569.33  59447.98   32905.5</a:t>
          </a:r>
        </a:p>
        <a:p>
          <a:pPr algn="l" rtl="0">
            <a:defRPr sz="1000"/>
          </a:pPr>
          <a:r>
            <a:rPr lang="en-US" sz="800" b="0" i="0" u="none" strike="noStrike" baseline="0">
              <a:solidFill>
                <a:srgbClr val="000000"/>
              </a:solidFill>
              <a:latin typeface="Courier"/>
            </a:rPr>
            <a:t>        3 | 17727.26  60578.06  36909.58   20430.1</a:t>
          </a:r>
        </a:p>
        <a:p>
          <a:pPr algn="l" rtl="0">
            <a:defRPr sz="1000"/>
          </a:pPr>
          <a:r>
            <a:rPr lang="en-US" sz="800" b="0" i="0" u="none" strike="noStrike" baseline="0">
              <a:solidFill>
                <a:srgbClr val="000000"/>
              </a:solidFill>
              <a:latin typeface="Courier"/>
            </a:rPr>
            <a:t>        4 | 12367.98  42264.19  25751.13   14253.7</a:t>
          </a:r>
        </a:p>
        <a:p>
          <a:pPr algn="l" rtl="0">
            <a:defRPr sz="1000"/>
          </a:pPr>
          <a:r>
            <a:rPr lang="en-US" sz="800" b="0" i="0" u="none" strike="noStrike" baseline="0">
              <a:solidFill>
                <a:srgbClr val="000000"/>
              </a:solidFill>
              <a:latin typeface="Courier"/>
            </a:rPr>
            <a:t>--------------------------------------------------</a:t>
          </a:r>
        </a:p>
        <a:p>
          <a:pPr algn="l" rtl="0">
            <a:defRPr sz="1000"/>
          </a:pPr>
          <a:endParaRPr lang="en-US" sz="800" b="0" i="0" u="none" strike="noStrike" baseline="0">
            <a:solidFill>
              <a:srgbClr val="000000"/>
            </a:solidFill>
            <a:latin typeface="Courier"/>
          </a:endParaRPr>
        </a:p>
        <a:p>
          <a:pPr algn="l" rtl="0">
            <a:defRPr sz="1000"/>
          </a:pPr>
          <a:r>
            <a:rPr lang="en-US" sz="800" b="0" i="0" u="none" strike="noStrike" baseline="0">
              <a:solidFill>
                <a:srgbClr val="000000"/>
              </a:solidFill>
              <a:latin typeface="Courier"/>
            </a:rPr>
            <a:t>. display 9773.55*97569/(33398*28552)</a:t>
          </a:r>
        </a:p>
        <a:p>
          <a:pPr algn="l" rtl="0">
            <a:defRPr sz="1000"/>
          </a:pPr>
          <a:r>
            <a:rPr lang="en-US" sz="800" b="0" i="0" u="none" strike="noStrike" baseline="0">
              <a:solidFill>
                <a:srgbClr val="000000"/>
              </a:solidFill>
              <a:latin typeface="Courier"/>
            </a:rPr>
            <a:t>1.0000166</a:t>
          </a:r>
        </a:p>
        <a:p>
          <a:pPr algn="l" rtl="0">
            <a:defRPr sz="1000"/>
          </a:pPr>
          <a:endParaRPr lang="en-US" sz="800" b="0" i="0" u="none" strike="noStrike" baseline="0">
            <a:solidFill>
              <a:srgbClr val="000000"/>
            </a:solidFill>
            <a:latin typeface="Courier"/>
          </a:endParaRPr>
        </a:p>
        <a:p>
          <a:pPr algn="l" rtl="0">
            <a:defRPr sz="1000"/>
          </a:pPr>
          <a:r>
            <a:rPr lang="en-US" sz="800" b="0" i="0" u="none" strike="noStrike" baseline="0">
              <a:solidFill>
                <a:srgbClr val="000000"/>
              </a:solidFill>
              <a:latin typeface="Courier"/>
            </a:rPr>
            <a:t>. *local table OR=1</a:t>
          </a:r>
          <a:endParaRPr lang="en-US" sz="900" b="0" i="0" u="none" strike="noStrike" baseline="0">
            <a:solidFill>
              <a:srgbClr val="000000"/>
            </a:solidFill>
            <a:latin typeface="Geneva"/>
          </a:endParaRPr>
        </a:p>
        <a:p>
          <a:pPr algn="l" rtl="0">
            <a:defRPr sz="1000"/>
          </a:pPr>
          <a:endParaRPr lang="en-US" sz="900" b="0" i="0" u="none" strike="noStrike" baseline="0">
            <a:solidFill>
              <a:srgbClr val="000000"/>
            </a:solidFill>
            <a:latin typeface="Geneva"/>
          </a:endParaRPr>
        </a:p>
      </xdr:txBody>
    </xdr:sp>
    <xdr:clientData/>
  </xdr:twoCellAnchor>
  <xdr:twoCellAnchor>
    <xdr:from>
      <xdr:col>8</xdr:col>
      <xdr:colOff>200025</xdr:colOff>
      <xdr:row>77</xdr:row>
      <xdr:rowOff>19050</xdr:rowOff>
    </xdr:from>
    <xdr:to>
      <xdr:col>15</xdr:col>
      <xdr:colOff>238125</xdr:colOff>
      <xdr:row>176</xdr:row>
      <xdr:rowOff>38100</xdr:rowOff>
    </xdr:to>
    <xdr:sp macro="" textlink="">
      <xdr:nvSpPr>
        <xdr:cNvPr id="15372" name="Text Box 12"/>
        <xdr:cNvSpPr txBox="1">
          <a:spLocks noChangeArrowheads="1"/>
        </xdr:cNvSpPr>
      </xdr:nvSpPr>
      <xdr:spPr bwMode="auto">
        <a:xfrm>
          <a:off x="5076825" y="11753850"/>
          <a:ext cx="4305300" cy="1510665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en-US" sz="800" b="0" i="0" u="none" strike="noStrike" baseline="0">
              <a:solidFill>
                <a:srgbClr val="000000"/>
              </a:solidFill>
              <a:latin typeface="Courier"/>
            </a:rPr>
            <a:t>. *Second, generate the scores and look at the first linear by linear association model.</a:t>
          </a:r>
        </a:p>
        <a:p>
          <a:pPr algn="l" rtl="0">
            <a:defRPr sz="1000"/>
          </a:pPr>
          <a:r>
            <a:rPr lang="en-US" sz="800" b="0" i="0" u="none" strike="noStrike" baseline="0">
              <a:solidFill>
                <a:srgbClr val="000000"/>
              </a:solidFill>
              <a:latin typeface="Courier"/>
            </a:rPr>
            <a:t>. gen new_score=hed*wed</a:t>
          </a:r>
        </a:p>
        <a:p>
          <a:pPr algn="l" rtl="0">
            <a:defRPr sz="1000"/>
          </a:pPr>
          <a:endParaRPr lang="en-US" sz="800" b="0" i="0" u="none" strike="noStrike" baseline="0">
            <a:solidFill>
              <a:srgbClr val="000000"/>
            </a:solidFill>
            <a:latin typeface="Courier"/>
          </a:endParaRPr>
        </a:p>
        <a:p>
          <a:pPr algn="l" rtl="0">
            <a:defRPr sz="1000"/>
          </a:pPr>
          <a:r>
            <a:rPr lang="en-US" sz="800" b="0" i="0" u="none" strike="noStrike" baseline="0">
              <a:solidFill>
                <a:srgbClr val="000000"/>
              </a:solidFill>
              <a:latin typeface="Courier"/>
            </a:rPr>
            <a:t>. table hed wed, contents(mean  new_score)</a:t>
          </a:r>
        </a:p>
        <a:p>
          <a:pPr algn="l" rtl="0">
            <a:defRPr sz="1000"/>
          </a:pPr>
          <a:endParaRPr lang="en-US" sz="800" b="0" i="0" u="none" strike="noStrike" baseline="0">
            <a:solidFill>
              <a:srgbClr val="000000"/>
            </a:solidFill>
            <a:latin typeface="Courier"/>
          </a:endParaRPr>
        </a:p>
        <a:p>
          <a:pPr algn="l" rtl="0">
            <a:defRPr sz="1000"/>
          </a:pPr>
          <a:r>
            <a:rPr lang="en-US" sz="800" b="0" i="0" u="none" strike="noStrike" baseline="0">
              <a:solidFill>
                <a:srgbClr val="000000"/>
              </a:solidFill>
              <a:latin typeface="Courier"/>
            </a:rPr>
            <a:t>----------------------------------</a:t>
          </a:r>
        </a:p>
        <a:p>
          <a:pPr algn="l" rtl="0">
            <a:defRPr sz="1000"/>
          </a:pPr>
          <a:r>
            <a:rPr lang="en-US" sz="800" b="0" i="0" u="none" strike="noStrike" baseline="0">
              <a:solidFill>
                <a:srgbClr val="000000"/>
              </a:solidFill>
              <a:latin typeface="Courier"/>
            </a:rPr>
            <a:t>          |          wed          </a:t>
          </a:r>
        </a:p>
        <a:p>
          <a:pPr algn="l" rtl="0">
            <a:defRPr sz="1000"/>
          </a:pPr>
          <a:r>
            <a:rPr lang="en-US" sz="800" b="0" i="0" u="none" strike="noStrike" baseline="0">
              <a:solidFill>
                <a:srgbClr val="000000"/>
              </a:solidFill>
              <a:latin typeface="Courier"/>
            </a:rPr>
            <a:t>      hed |    1     2     3     4</a:t>
          </a:r>
        </a:p>
        <a:p>
          <a:pPr algn="l" rtl="0">
            <a:defRPr sz="1000"/>
          </a:pPr>
          <a:r>
            <a:rPr lang="en-US" sz="800" b="0" i="0" u="none" strike="noStrike" baseline="0">
              <a:solidFill>
                <a:srgbClr val="000000"/>
              </a:solidFill>
              <a:latin typeface="Courier"/>
            </a:rPr>
            <a:t>----------+-----------------------</a:t>
          </a:r>
        </a:p>
        <a:p>
          <a:pPr algn="l" rtl="0">
            <a:defRPr sz="1000"/>
          </a:pPr>
          <a:r>
            <a:rPr lang="en-US" sz="800" b="0" i="0" u="none" strike="noStrike" baseline="0">
              <a:solidFill>
                <a:srgbClr val="000000"/>
              </a:solidFill>
              <a:latin typeface="Courier"/>
            </a:rPr>
            <a:t>        1 |    1     2     3     4</a:t>
          </a:r>
        </a:p>
        <a:p>
          <a:pPr algn="l" rtl="0">
            <a:defRPr sz="1000"/>
          </a:pPr>
          <a:r>
            <a:rPr lang="en-US" sz="800" b="0" i="0" u="none" strike="noStrike" baseline="0">
              <a:solidFill>
                <a:srgbClr val="000000"/>
              </a:solidFill>
              <a:latin typeface="Courier"/>
            </a:rPr>
            <a:t>        2 |    2     4     6     8</a:t>
          </a:r>
        </a:p>
        <a:p>
          <a:pPr algn="l" rtl="0">
            <a:defRPr sz="1000"/>
          </a:pPr>
          <a:r>
            <a:rPr lang="en-US" sz="800" b="0" i="0" u="none" strike="noStrike" baseline="0">
              <a:solidFill>
                <a:srgbClr val="000000"/>
              </a:solidFill>
              <a:latin typeface="Courier"/>
            </a:rPr>
            <a:t>        3 |    3     6     9    12</a:t>
          </a:r>
        </a:p>
        <a:p>
          <a:pPr algn="l" rtl="0">
            <a:defRPr sz="1000"/>
          </a:pPr>
          <a:r>
            <a:rPr lang="en-US" sz="800" b="0" i="0" u="none" strike="noStrike" baseline="0">
              <a:solidFill>
                <a:srgbClr val="000000"/>
              </a:solidFill>
              <a:latin typeface="Courier"/>
            </a:rPr>
            <a:t>        4 |    4     8    12    16</a:t>
          </a:r>
        </a:p>
        <a:p>
          <a:pPr algn="l" rtl="0">
            <a:defRPr sz="1000"/>
          </a:pPr>
          <a:r>
            <a:rPr lang="en-US" sz="800" b="0" i="0" u="none" strike="noStrike" baseline="0">
              <a:solidFill>
                <a:srgbClr val="000000"/>
              </a:solidFill>
              <a:latin typeface="Courier"/>
            </a:rPr>
            <a:t>----------------------------------</a:t>
          </a:r>
        </a:p>
        <a:p>
          <a:pPr algn="l" rtl="0">
            <a:defRPr sz="1000"/>
          </a:pPr>
          <a:endParaRPr lang="en-US" sz="800" b="0" i="0" u="none" strike="noStrike" baseline="0">
            <a:solidFill>
              <a:srgbClr val="000000"/>
            </a:solidFill>
            <a:latin typeface="Courier"/>
          </a:endParaRPr>
        </a:p>
        <a:p>
          <a:pPr algn="l" rtl="0">
            <a:defRPr sz="1000"/>
          </a:pPr>
          <a:r>
            <a:rPr lang="en-US" sz="800" b="0" i="0" u="none" strike="noStrike" baseline="0">
              <a:solidFill>
                <a:srgbClr val="000000"/>
              </a:solidFill>
              <a:latin typeface="Courier"/>
            </a:rPr>
            <a:t>. desmat: poisson count hed wed @score</a:t>
          </a:r>
        </a:p>
        <a:p>
          <a:pPr algn="l" rtl="0">
            <a:defRPr sz="1000"/>
          </a:pPr>
          <a:r>
            <a:rPr lang="en-US" sz="800" b="0" i="0" u="none" strike="noStrike" baseline="0">
              <a:solidFill>
                <a:srgbClr val="000000"/>
              </a:solidFill>
              <a:latin typeface="Courier"/>
            </a:rPr>
            <a:t>--------------------------------------------------</a:t>
          </a:r>
        </a:p>
        <a:p>
          <a:pPr algn="l" rtl="0">
            <a:defRPr sz="1000"/>
          </a:pPr>
          <a:r>
            <a:rPr lang="en-US" sz="800" b="0" i="0" u="none" strike="noStrike" baseline="0">
              <a:solidFill>
                <a:srgbClr val="000000"/>
              </a:solidFill>
              <a:latin typeface="Courier"/>
            </a:rPr>
            <a:t>   Poisson regression</a:t>
          </a:r>
        </a:p>
        <a:p>
          <a:pPr algn="l" rtl="0">
            <a:defRPr sz="1000"/>
          </a:pPr>
          <a:r>
            <a:rPr lang="en-US" sz="800" b="0" i="0" u="none" strike="noStrike" baseline="0">
              <a:solidFill>
                <a:srgbClr val="000000"/>
              </a:solidFill>
              <a:latin typeface="Courier"/>
            </a:rPr>
            <a:t>--------------------------------------------------</a:t>
          </a:r>
        </a:p>
        <a:p>
          <a:pPr algn="l" rtl="0">
            <a:defRPr sz="1000"/>
          </a:pPr>
          <a:r>
            <a:rPr lang="en-US" sz="800" b="0" i="0" u="none" strike="noStrike" baseline="0">
              <a:solidFill>
                <a:srgbClr val="000000"/>
              </a:solidFill>
              <a:latin typeface="Courier"/>
            </a:rPr>
            <a:t>   Dependent variable                       count</a:t>
          </a:r>
        </a:p>
        <a:p>
          <a:pPr algn="l" rtl="0">
            <a:defRPr sz="1000"/>
          </a:pPr>
          <a:r>
            <a:rPr lang="en-US" sz="800" b="0" i="0" u="none" strike="noStrike" baseline="0">
              <a:solidFill>
                <a:srgbClr val="000000"/>
              </a:solidFill>
              <a:latin typeface="Courier"/>
            </a:rPr>
            <a:t>   Optimization:                               ml</a:t>
          </a:r>
        </a:p>
        <a:p>
          <a:pPr algn="l" rtl="0">
            <a:defRPr sz="1000"/>
          </a:pPr>
          <a:r>
            <a:rPr lang="en-US" sz="800" b="0" i="0" u="none" strike="noStrike" baseline="0">
              <a:solidFill>
                <a:srgbClr val="000000"/>
              </a:solidFill>
              <a:latin typeface="Courier"/>
            </a:rPr>
            <a:t>   Number of observations:                     16</a:t>
          </a:r>
        </a:p>
        <a:p>
          <a:pPr algn="l" rtl="0">
            <a:defRPr sz="1000"/>
          </a:pPr>
          <a:r>
            <a:rPr lang="en-US" sz="800" b="0" i="0" u="none" strike="noStrike" baseline="0">
              <a:solidFill>
                <a:srgbClr val="000000"/>
              </a:solidFill>
              <a:latin typeface="Courier"/>
            </a:rPr>
            <a:t>   Initial log likelihood:            -221501.223</a:t>
          </a:r>
        </a:p>
        <a:p>
          <a:pPr algn="l" rtl="0">
            <a:defRPr sz="1000"/>
          </a:pPr>
          <a:r>
            <a:rPr lang="en-US" sz="800" b="0" i="0" u="none" strike="noStrike" baseline="0">
              <a:solidFill>
                <a:srgbClr val="000000"/>
              </a:solidFill>
              <a:latin typeface="Courier"/>
            </a:rPr>
            <a:t>   Log likelihood:                      -6373.659</a:t>
          </a:r>
        </a:p>
        <a:p>
          <a:pPr algn="l" rtl="0">
            <a:defRPr sz="1000"/>
          </a:pPr>
          <a:r>
            <a:rPr lang="en-US" sz="800" b="0" i="0" u="none" strike="noStrike" baseline="0">
              <a:solidFill>
                <a:srgbClr val="000000"/>
              </a:solidFill>
              <a:latin typeface="Courier"/>
            </a:rPr>
            <a:t>   LR chi square:                      430255.129</a:t>
          </a:r>
        </a:p>
        <a:p>
          <a:pPr algn="l" rtl="0">
            <a:defRPr sz="1000"/>
          </a:pPr>
          <a:r>
            <a:rPr lang="en-US" sz="800" b="0" i="0" u="none" strike="noStrike" baseline="0">
              <a:solidFill>
                <a:srgbClr val="000000"/>
              </a:solidFill>
              <a:latin typeface="Courier"/>
            </a:rPr>
            <a:t>   Model degrees of freedom:                    7</a:t>
          </a:r>
        </a:p>
        <a:p>
          <a:pPr algn="l" rtl="0">
            <a:defRPr sz="1000"/>
          </a:pPr>
          <a:r>
            <a:rPr lang="en-US" sz="800" b="0" i="0" u="none" strike="noStrike" baseline="0">
              <a:solidFill>
                <a:srgbClr val="000000"/>
              </a:solidFill>
              <a:latin typeface="Courier"/>
            </a:rPr>
            <a:t>   Pseudo R-squared:                        0.971</a:t>
          </a:r>
        </a:p>
        <a:p>
          <a:pPr algn="l" rtl="0">
            <a:defRPr sz="1000"/>
          </a:pPr>
          <a:r>
            <a:rPr lang="en-US" sz="800" b="0" i="0" u="none" strike="noStrike" baseline="0">
              <a:solidFill>
                <a:srgbClr val="000000"/>
              </a:solidFill>
              <a:latin typeface="Courier"/>
            </a:rPr>
            <a:t>   Prob:                                    0.000</a:t>
          </a:r>
        </a:p>
        <a:p>
          <a:pPr algn="l" rtl="0">
            <a:defRPr sz="1000"/>
          </a:pPr>
          <a:r>
            <a:rPr lang="en-US" sz="800" b="0" i="0" u="none" strike="noStrike" baseline="0">
              <a:solidFill>
                <a:srgbClr val="000000"/>
              </a:solidFill>
              <a:latin typeface="Courier"/>
            </a:rPr>
            <a:t>--------------------------------------------------</a:t>
          </a:r>
        </a:p>
        <a:p>
          <a:pPr algn="l" rtl="0">
            <a:defRPr sz="1000"/>
          </a:pPr>
          <a:r>
            <a:rPr lang="en-US" sz="800" b="0" i="0" u="none" strike="noStrike" baseline="0">
              <a:solidFill>
                <a:srgbClr val="000000"/>
              </a:solidFill>
              <a:latin typeface="Courier"/>
            </a:rPr>
            <a:t>nr Effect                      Coeff         s.e.</a:t>
          </a:r>
        </a:p>
        <a:p>
          <a:pPr algn="l" rtl="0">
            <a:defRPr sz="1000"/>
          </a:pPr>
          <a:r>
            <a:rPr lang="en-US" sz="800" b="0" i="0" u="none" strike="noStrike" baseline="0">
              <a:solidFill>
                <a:srgbClr val="000000"/>
              </a:solidFill>
              <a:latin typeface="Courier"/>
            </a:rPr>
            <a:t>--------------------------------------------------</a:t>
          </a:r>
        </a:p>
        <a:p>
          <a:pPr algn="l" rtl="0">
            <a:defRPr sz="1000"/>
          </a:pPr>
          <a:r>
            <a:rPr lang="en-US" sz="800" b="0" i="0" u="none" strike="noStrike" baseline="0">
              <a:solidFill>
                <a:srgbClr val="000000"/>
              </a:solidFill>
              <a:latin typeface="Courier"/>
            </a:rPr>
            <a:t>   count</a:t>
          </a:r>
        </a:p>
        <a:p>
          <a:pPr algn="l" rtl="0">
            <a:defRPr sz="1000"/>
          </a:pPr>
          <a:r>
            <a:rPr lang="en-US" sz="800" b="0" i="0" u="none" strike="noStrike" baseline="0">
              <a:solidFill>
                <a:srgbClr val="000000"/>
              </a:solidFill>
              <a:latin typeface="Courier"/>
            </a:rPr>
            <a:t>     hed</a:t>
          </a:r>
        </a:p>
        <a:p>
          <a:pPr algn="l" rtl="0">
            <a:defRPr sz="1000"/>
          </a:pPr>
          <a:r>
            <a:rPr lang="en-US" sz="800" b="0" i="0" u="none" strike="noStrike" baseline="0">
              <a:solidFill>
                <a:srgbClr val="000000"/>
              </a:solidFill>
              <a:latin typeface="Courier"/>
            </a:rPr>
            <a:t>1      2                      -0.836***     0.006</a:t>
          </a:r>
        </a:p>
        <a:p>
          <a:pPr algn="l" rtl="0">
            <a:defRPr sz="1000"/>
          </a:pPr>
          <a:r>
            <a:rPr lang="en-US" sz="800" b="0" i="0" u="none" strike="noStrike" baseline="0">
              <a:solidFill>
                <a:srgbClr val="000000"/>
              </a:solidFill>
              <a:latin typeface="Courier"/>
            </a:rPr>
            <a:t>2      3                      -3.731***     0.012</a:t>
          </a:r>
        </a:p>
        <a:p>
          <a:pPr algn="l" rtl="0">
            <a:defRPr sz="1000"/>
          </a:pPr>
          <a:r>
            <a:rPr lang="en-US" sz="800" b="0" i="0" u="none" strike="noStrike" baseline="0">
              <a:solidFill>
                <a:srgbClr val="000000"/>
              </a:solidFill>
              <a:latin typeface="Courier"/>
            </a:rPr>
            <a:t>3      4                      -7.128***     0.021</a:t>
          </a:r>
        </a:p>
        <a:p>
          <a:pPr algn="l" rtl="0">
            <a:defRPr sz="1000"/>
          </a:pPr>
          <a:r>
            <a:rPr lang="en-US" sz="800" b="0" i="0" u="none" strike="noStrike" baseline="0">
              <a:solidFill>
                <a:srgbClr val="000000"/>
              </a:solidFill>
              <a:latin typeface="Courier"/>
            </a:rPr>
            <a:t>     wed</a:t>
          </a:r>
        </a:p>
        <a:p>
          <a:pPr algn="l" rtl="0">
            <a:defRPr sz="1000"/>
          </a:pPr>
          <a:r>
            <a:rPr lang="en-US" sz="800" b="0" i="0" u="none" strike="noStrike" baseline="0">
              <a:solidFill>
                <a:srgbClr val="000000"/>
              </a:solidFill>
              <a:latin typeface="Courier"/>
            </a:rPr>
            <a:t>4      2                      -0.671***     0.006</a:t>
          </a:r>
        </a:p>
        <a:p>
          <a:pPr algn="l" rtl="0">
            <a:defRPr sz="1000"/>
          </a:pPr>
          <a:r>
            <a:rPr lang="en-US" sz="800" b="0" i="0" u="none" strike="noStrike" baseline="0">
              <a:solidFill>
                <a:srgbClr val="000000"/>
              </a:solidFill>
              <a:latin typeface="Courier"/>
            </a:rPr>
            <a:t>5      3                      -3.656***     0.012</a:t>
          </a:r>
        </a:p>
        <a:p>
          <a:pPr algn="l" rtl="0">
            <a:defRPr sz="1000"/>
          </a:pPr>
          <a:r>
            <a:rPr lang="en-US" sz="800" b="0" i="0" u="none" strike="noStrike" baseline="0">
              <a:solidFill>
                <a:srgbClr val="000000"/>
              </a:solidFill>
              <a:latin typeface="Courier"/>
            </a:rPr>
            <a:t>6      4                      -7.418***     0.022</a:t>
          </a:r>
        </a:p>
        <a:p>
          <a:pPr algn="l" rtl="0">
            <a:defRPr sz="1000"/>
          </a:pPr>
          <a:r>
            <a:rPr lang="en-US" sz="800" b="0" i="0" u="none" strike="noStrike" baseline="0">
              <a:solidFill>
                <a:srgbClr val="000000"/>
              </a:solidFill>
              <a:latin typeface="Courier"/>
            </a:rPr>
            <a:t>7    score                     1.000***     0.003</a:t>
          </a:r>
        </a:p>
        <a:p>
          <a:pPr algn="l" rtl="0">
            <a:defRPr sz="1000"/>
          </a:pPr>
          <a:r>
            <a:rPr lang="en-US" sz="800" b="0" i="0" u="none" strike="noStrike" baseline="0">
              <a:solidFill>
                <a:srgbClr val="000000"/>
              </a:solidFill>
              <a:latin typeface="Courier"/>
            </a:rPr>
            <a:t>8    _cons                     9.270***     0.005</a:t>
          </a:r>
        </a:p>
        <a:p>
          <a:pPr algn="l" rtl="0">
            <a:defRPr sz="1000"/>
          </a:pPr>
          <a:r>
            <a:rPr lang="en-US" sz="800" b="0" i="0" u="none" strike="noStrike" baseline="0">
              <a:solidFill>
                <a:srgbClr val="000000"/>
              </a:solidFill>
              <a:latin typeface="Courier"/>
            </a:rPr>
            <a:t>--------------------------------------------------</a:t>
          </a:r>
        </a:p>
        <a:p>
          <a:pPr algn="l" rtl="0">
            <a:defRPr sz="1000"/>
          </a:pPr>
          <a:r>
            <a:rPr lang="en-US" sz="800" b="0" i="0" u="none" strike="noStrike" baseline="0">
              <a:solidFill>
                <a:srgbClr val="000000"/>
              </a:solidFill>
              <a:latin typeface="Courier"/>
            </a:rPr>
            <a:t>*   p &lt; .05</a:t>
          </a:r>
        </a:p>
        <a:p>
          <a:pPr algn="l" rtl="0">
            <a:defRPr sz="1000"/>
          </a:pPr>
          <a:r>
            <a:rPr lang="en-US" sz="800" b="0" i="0" u="none" strike="noStrike" baseline="0">
              <a:solidFill>
                <a:srgbClr val="000000"/>
              </a:solidFill>
              <a:latin typeface="Courier"/>
            </a:rPr>
            <a:t>**  p &lt; .01</a:t>
          </a:r>
        </a:p>
        <a:p>
          <a:pPr algn="l" rtl="0">
            <a:defRPr sz="1000"/>
          </a:pPr>
          <a:r>
            <a:rPr lang="en-US" sz="800" b="0" i="0" u="none" strike="noStrike" baseline="0">
              <a:solidFill>
                <a:srgbClr val="000000"/>
              </a:solidFill>
              <a:latin typeface="Courier"/>
            </a:rPr>
            <a:t>*** p &lt; .001</a:t>
          </a:r>
        </a:p>
        <a:p>
          <a:pPr algn="l" rtl="0">
            <a:defRPr sz="1000"/>
          </a:pPr>
          <a:endParaRPr lang="en-US" sz="800" b="0" i="0" u="none" strike="noStrike" baseline="0">
            <a:solidFill>
              <a:srgbClr val="000000"/>
            </a:solidFill>
            <a:latin typeface="Courier"/>
          </a:endParaRPr>
        </a:p>
        <a:p>
          <a:pPr algn="l" rtl="0">
            <a:defRPr sz="1000"/>
          </a:pPr>
          <a:r>
            <a:rPr lang="en-US" sz="800" b="0" i="0" u="none" strike="noStrike" baseline="0">
              <a:solidFill>
                <a:srgbClr val="000000"/>
              </a:solidFill>
              <a:latin typeface="Courier"/>
            </a:rPr>
            <a:t>. display exp(1.000)</a:t>
          </a:r>
        </a:p>
        <a:p>
          <a:pPr algn="l" rtl="0">
            <a:defRPr sz="1000"/>
          </a:pPr>
          <a:r>
            <a:rPr lang="en-US" sz="800" b="0" i="0" u="none" strike="noStrike" baseline="0">
              <a:solidFill>
                <a:srgbClr val="000000"/>
              </a:solidFill>
              <a:latin typeface="Courier"/>
            </a:rPr>
            <a:t>2.7182818</a:t>
          </a:r>
        </a:p>
        <a:p>
          <a:pPr algn="l" rtl="0">
            <a:defRPr sz="1000"/>
          </a:pPr>
          <a:endParaRPr lang="en-US" sz="800" b="0" i="0" u="none" strike="noStrike" baseline="0">
            <a:solidFill>
              <a:srgbClr val="000000"/>
            </a:solidFill>
            <a:latin typeface="Courier"/>
          </a:endParaRPr>
        </a:p>
        <a:p>
          <a:pPr algn="l" rtl="0">
            <a:defRPr sz="1000"/>
          </a:pPr>
          <a:r>
            <a:rPr lang="en-US" sz="800" b="0" i="0" u="none" strike="noStrike" baseline="0">
              <a:solidFill>
                <a:srgbClr val="000000"/>
              </a:solidFill>
              <a:latin typeface="Courier"/>
            </a:rPr>
            <a:t>. poisgof</a:t>
          </a:r>
        </a:p>
        <a:p>
          <a:pPr algn="l" rtl="0">
            <a:defRPr sz="1000"/>
          </a:pPr>
          <a:endParaRPr lang="en-US" sz="800" b="0" i="0" u="none" strike="noStrike" baseline="0">
            <a:solidFill>
              <a:srgbClr val="000000"/>
            </a:solidFill>
            <a:latin typeface="Courier"/>
          </a:endParaRPr>
        </a:p>
        <a:p>
          <a:pPr algn="l" rtl="0">
            <a:defRPr sz="1000"/>
          </a:pPr>
          <a:r>
            <a:rPr lang="en-US" sz="800" b="0" i="0" u="none" strike="noStrike" baseline="0">
              <a:solidFill>
                <a:srgbClr val="000000"/>
              </a:solidFill>
              <a:latin typeface="Courier"/>
            </a:rPr>
            <a:t>         Goodness-of-fit chi2  =  12561.32</a:t>
          </a:r>
        </a:p>
        <a:p>
          <a:pPr algn="l" rtl="0">
            <a:defRPr sz="1000"/>
          </a:pPr>
          <a:r>
            <a:rPr lang="en-US" sz="800" b="0" i="0" u="none" strike="noStrike" baseline="0">
              <a:solidFill>
                <a:srgbClr val="000000"/>
              </a:solidFill>
              <a:latin typeface="Courier"/>
            </a:rPr>
            <a:t>         Prob &gt; chi2(8)        =    0.0000</a:t>
          </a:r>
        </a:p>
        <a:p>
          <a:pPr algn="l" rtl="0">
            <a:defRPr sz="1000"/>
          </a:pPr>
          <a:endParaRPr lang="en-US" sz="800" b="0" i="0" u="none" strike="noStrike" baseline="0">
            <a:solidFill>
              <a:srgbClr val="000000"/>
            </a:solidFill>
            <a:latin typeface="Courier"/>
          </a:endParaRPr>
        </a:p>
        <a:p>
          <a:pPr algn="l" rtl="0">
            <a:defRPr sz="1000"/>
          </a:pPr>
          <a:r>
            <a:rPr lang="en-US" sz="800" b="0" i="0" u="none" strike="noStrike" baseline="0">
              <a:solidFill>
                <a:srgbClr val="000000"/>
              </a:solidFill>
              <a:latin typeface="Courier"/>
            </a:rPr>
            <a:t>. predict P_score</a:t>
          </a:r>
        </a:p>
        <a:p>
          <a:pPr algn="l" rtl="0">
            <a:defRPr sz="1000"/>
          </a:pPr>
          <a:r>
            <a:rPr lang="en-US" sz="800" b="0" i="0" u="none" strike="noStrike" baseline="0">
              <a:solidFill>
                <a:srgbClr val="000000"/>
              </a:solidFill>
              <a:latin typeface="Courier"/>
            </a:rPr>
            <a:t>(option n assumed; predicted number of events)</a:t>
          </a:r>
        </a:p>
        <a:p>
          <a:pPr algn="l" rtl="0">
            <a:defRPr sz="1000"/>
          </a:pPr>
          <a:endParaRPr lang="en-US" sz="800" b="0" i="0" u="none" strike="noStrike" baseline="0">
            <a:solidFill>
              <a:srgbClr val="000000"/>
            </a:solidFill>
            <a:latin typeface="Courier"/>
          </a:endParaRPr>
        </a:p>
        <a:p>
          <a:pPr algn="l" rtl="0">
            <a:defRPr sz="1000"/>
          </a:pPr>
          <a:r>
            <a:rPr lang="en-US" sz="800" b="0" i="0" u="none" strike="noStrike" baseline="0">
              <a:solidFill>
                <a:srgbClr val="000000"/>
              </a:solidFill>
              <a:latin typeface="Courier"/>
            </a:rPr>
            <a:t>. table hed wed, contents(sum P_score)</a:t>
          </a:r>
        </a:p>
        <a:p>
          <a:pPr algn="l" rtl="0">
            <a:defRPr sz="1000"/>
          </a:pPr>
          <a:endParaRPr lang="en-US" sz="800" b="0" i="0" u="none" strike="noStrike" baseline="0">
            <a:solidFill>
              <a:srgbClr val="000000"/>
            </a:solidFill>
            <a:latin typeface="Courier"/>
          </a:endParaRPr>
        </a:p>
        <a:p>
          <a:pPr algn="l" rtl="0">
            <a:defRPr sz="1000"/>
          </a:pPr>
          <a:r>
            <a:rPr lang="en-US" sz="800" b="0" i="0" u="none" strike="noStrike" baseline="0">
              <a:solidFill>
                <a:srgbClr val="000000"/>
              </a:solidFill>
              <a:latin typeface="Courier"/>
            </a:rPr>
            <a:t>--------------------------------------------------</a:t>
          </a:r>
        </a:p>
        <a:p>
          <a:pPr algn="l" rtl="0">
            <a:defRPr sz="1000"/>
          </a:pPr>
          <a:r>
            <a:rPr lang="en-US" sz="800" b="0" i="0" u="none" strike="noStrike" baseline="0">
              <a:solidFill>
                <a:srgbClr val="000000"/>
              </a:solidFill>
              <a:latin typeface="Courier"/>
            </a:rPr>
            <a:t>          |                  wed                  </a:t>
          </a:r>
        </a:p>
        <a:p>
          <a:pPr algn="l" rtl="0">
            <a:defRPr sz="1000"/>
          </a:pPr>
          <a:r>
            <a:rPr lang="en-US" sz="800" b="0" i="0" u="none" strike="noStrike" baseline="0">
              <a:solidFill>
                <a:srgbClr val="000000"/>
              </a:solidFill>
              <a:latin typeface="Courier"/>
            </a:rPr>
            <a:t>      hed |        1         2         3         4</a:t>
          </a:r>
        </a:p>
        <a:p>
          <a:pPr algn="l" rtl="0">
            <a:defRPr sz="1000"/>
          </a:pPr>
          <a:r>
            <a:rPr lang="en-US" sz="800" b="0" i="0" u="none" strike="noStrike" baseline="0">
              <a:solidFill>
                <a:srgbClr val="000000"/>
              </a:solidFill>
              <a:latin typeface="Courier"/>
            </a:rPr>
            <a:t>----------+---------------------------------------</a:t>
          </a:r>
        </a:p>
        <a:p>
          <a:pPr algn="l" rtl="0">
            <a:defRPr sz="1000"/>
          </a:pPr>
          <a:r>
            <a:rPr lang="en-US" sz="800" b="0" i="0" u="none" strike="noStrike" baseline="0">
              <a:solidFill>
                <a:srgbClr val="000000"/>
              </a:solidFill>
              <a:latin typeface="Courier"/>
            </a:rPr>
            <a:t>        1 | 28854.76  40075.84  5506.446  347.9548</a:t>
          </a:r>
        </a:p>
        <a:p>
          <a:pPr algn="l" rtl="0">
            <a:defRPr sz="1000"/>
          </a:pPr>
          <a:r>
            <a:rPr lang="en-US" sz="800" b="0" i="0" u="none" strike="noStrike" baseline="0">
              <a:solidFill>
                <a:srgbClr val="000000"/>
              </a:solidFill>
              <a:latin typeface="Courier"/>
            </a:rPr>
            <a:t>        2 | 33991.05  128324.8     47927  8232.138</a:t>
          </a:r>
        </a:p>
        <a:p>
          <a:pPr algn="l" rtl="0">
            <a:defRPr sz="1000"/>
          </a:pPr>
          <a:r>
            <a:rPr lang="en-US" sz="800" b="0" i="0" u="none" strike="noStrike" baseline="0">
              <a:solidFill>
                <a:srgbClr val="000000"/>
              </a:solidFill>
              <a:latin typeface="Courier"/>
            </a:rPr>
            <a:t>        3 | 5110.256  52440.83   53237.8  24856.12</a:t>
          </a:r>
        </a:p>
        <a:p>
          <a:pPr algn="l" rtl="0">
            <a:defRPr sz="1000"/>
          </a:pPr>
          <a:r>
            <a:rPr lang="en-US" sz="800" b="0" i="0" u="none" strike="noStrike" baseline="0">
              <a:solidFill>
                <a:srgbClr val="000000"/>
              </a:solidFill>
              <a:latin typeface="Courier"/>
            </a:rPr>
            <a:t>        4 | 464.9252  12968.53  35786.75  45416.79</a:t>
          </a:r>
        </a:p>
        <a:p>
          <a:pPr algn="l" rtl="0">
            <a:defRPr sz="1000"/>
          </a:pPr>
          <a:r>
            <a:rPr lang="en-US" sz="800" b="0" i="0" u="none" strike="noStrike" baseline="0">
              <a:solidFill>
                <a:srgbClr val="000000"/>
              </a:solidFill>
              <a:latin typeface="Courier"/>
            </a:rPr>
            <a:t>--------------------------------------------------</a:t>
          </a:r>
        </a:p>
        <a:p>
          <a:pPr algn="l" rtl="0">
            <a:defRPr sz="1000"/>
          </a:pPr>
          <a:endParaRPr lang="en-US" sz="800" b="0" i="0" u="none" strike="noStrike" baseline="0">
            <a:solidFill>
              <a:srgbClr val="000000"/>
            </a:solidFill>
            <a:latin typeface="Courier"/>
          </a:endParaRPr>
        </a:p>
        <a:p>
          <a:pPr algn="l" rtl="0">
            <a:defRPr sz="1000"/>
          </a:pPr>
          <a:r>
            <a:rPr lang="en-US" sz="800" b="0" i="0" u="none" strike="noStrike" baseline="0">
              <a:solidFill>
                <a:srgbClr val="000000"/>
              </a:solidFill>
              <a:latin typeface="Courier"/>
            </a:rPr>
            <a:t>. display 28854.76*128324/(40075.84*33991)</a:t>
          </a:r>
        </a:p>
        <a:p>
          <a:pPr algn="l" rtl="0">
            <a:defRPr sz="1000"/>
          </a:pPr>
          <a:r>
            <a:rPr lang="en-US" sz="800" b="0" i="0" u="none" strike="noStrike" baseline="0">
              <a:solidFill>
                <a:srgbClr val="000000"/>
              </a:solidFill>
              <a:latin typeface="Courier"/>
            </a:rPr>
            <a:t>2.7181835</a:t>
          </a:r>
        </a:p>
        <a:p>
          <a:pPr algn="l" rtl="0">
            <a:defRPr sz="1000"/>
          </a:pPr>
          <a:endParaRPr lang="en-US" sz="800" b="0" i="0" u="none" strike="noStrike" baseline="0">
            <a:solidFill>
              <a:srgbClr val="000000"/>
            </a:solidFill>
            <a:latin typeface="Courier"/>
          </a:endParaRPr>
        </a:p>
        <a:p>
          <a:pPr algn="l" rtl="0">
            <a:defRPr sz="1000"/>
          </a:pPr>
          <a:r>
            <a:rPr lang="en-US" sz="800" b="0" i="0" u="none" strike="noStrike" baseline="0">
              <a:solidFill>
                <a:srgbClr val="000000"/>
              </a:solidFill>
              <a:latin typeface="Courier"/>
            </a:rPr>
            <a:t>. matrix A=e(b)</a:t>
          </a:r>
        </a:p>
        <a:p>
          <a:pPr algn="l" rtl="0">
            <a:defRPr sz="1000"/>
          </a:pPr>
          <a:endParaRPr lang="en-US" sz="800" b="0" i="0" u="none" strike="noStrike" baseline="0">
            <a:solidFill>
              <a:srgbClr val="000000"/>
            </a:solidFill>
            <a:latin typeface="Courier"/>
          </a:endParaRPr>
        </a:p>
        <a:p>
          <a:pPr algn="l" rtl="0">
            <a:defRPr sz="1000"/>
          </a:pPr>
          <a:r>
            <a:rPr lang="en-US" sz="800" b="0" i="0" u="none" strike="noStrike" baseline="0">
              <a:solidFill>
                <a:srgbClr val="000000"/>
              </a:solidFill>
              <a:latin typeface="Courier"/>
            </a:rPr>
            <a:t>. matrix list A</a:t>
          </a:r>
        </a:p>
        <a:p>
          <a:pPr algn="l" rtl="0">
            <a:defRPr sz="1000"/>
          </a:pPr>
          <a:endParaRPr lang="en-US" sz="800" b="0" i="0" u="none" strike="noStrike" baseline="0">
            <a:solidFill>
              <a:srgbClr val="000000"/>
            </a:solidFill>
            <a:latin typeface="Courier"/>
          </a:endParaRPr>
        </a:p>
        <a:p>
          <a:pPr algn="l" rtl="0">
            <a:defRPr sz="1000"/>
          </a:pPr>
          <a:r>
            <a:rPr lang="en-US" sz="800" b="0" i="0" u="none" strike="noStrike" baseline="0">
              <a:solidFill>
                <a:srgbClr val="000000"/>
              </a:solidFill>
              <a:latin typeface="Courier"/>
            </a:rPr>
            <a:t>A[1,8]</a:t>
          </a:r>
        </a:p>
        <a:p>
          <a:pPr algn="l" rtl="0">
            <a:defRPr sz="1000"/>
          </a:pPr>
          <a:r>
            <a:rPr lang="en-US" sz="800" b="0" i="0" u="none" strike="noStrike" baseline="0">
              <a:solidFill>
                <a:srgbClr val="000000"/>
              </a:solidFill>
              <a:latin typeface="Courier"/>
            </a:rPr>
            <a:t>         count:      count:      count:</a:t>
          </a:r>
        </a:p>
        <a:p>
          <a:pPr algn="l" rtl="0">
            <a:defRPr sz="1000"/>
          </a:pPr>
          <a:r>
            <a:rPr lang="en-US" sz="800" b="0" i="0" u="none" strike="noStrike" baseline="0">
              <a:solidFill>
                <a:srgbClr val="000000"/>
              </a:solidFill>
              <a:latin typeface="Courier"/>
            </a:rPr>
            <a:t>          _x_1        _x_2        _x_3</a:t>
          </a:r>
        </a:p>
        <a:p>
          <a:pPr algn="l" rtl="0">
            <a:defRPr sz="1000"/>
          </a:pPr>
          <a:r>
            <a:rPr lang="en-US" sz="800" b="0" i="0" u="none" strike="noStrike" baseline="0">
              <a:solidFill>
                <a:srgbClr val="000000"/>
              </a:solidFill>
              <a:latin typeface="Courier"/>
            </a:rPr>
            <a:t>y1  -.83614641   -3.730963    -7.12806</a:t>
          </a:r>
        </a:p>
        <a:p>
          <a:pPr algn="l" rtl="0">
            <a:defRPr sz="1000"/>
          </a:pPr>
          <a:endParaRPr lang="en-US" sz="800" b="0" i="0" u="none" strike="noStrike" baseline="0">
            <a:solidFill>
              <a:srgbClr val="000000"/>
            </a:solidFill>
            <a:latin typeface="Courier"/>
          </a:endParaRPr>
        </a:p>
        <a:p>
          <a:pPr algn="l" rtl="0">
            <a:defRPr sz="1000"/>
          </a:pPr>
          <a:r>
            <a:rPr lang="en-US" sz="800" b="0" i="0" u="none" strike="noStrike" baseline="0">
              <a:solidFill>
                <a:srgbClr val="000000"/>
              </a:solidFill>
              <a:latin typeface="Courier"/>
            </a:rPr>
            <a:t>         count:      count:      count:</a:t>
          </a:r>
        </a:p>
        <a:p>
          <a:pPr algn="l" rtl="0">
            <a:defRPr sz="1000"/>
          </a:pPr>
          <a:r>
            <a:rPr lang="en-US" sz="800" b="0" i="0" u="none" strike="noStrike" baseline="0">
              <a:solidFill>
                <a:srgbClr val="000000"/>
              </a:solidFill>
              <a:latin typeface="Courier"/>
            </a:rPr>
            <a:t>          _x_4        _x_5        _x_6</a:t>
          </a:r>
        </a:p>
        <a:p>
          <a:pPr algn="l" rtl="0">
            <a:defRPr sz="1000"/>
          </a:pPr>
          <a:r>
            <a:rPr lang="en-US" sz="800" b="0" i="0" u="none" strike="noStrike" baseline="0">
              <a:solidFill>
                <a:srgbClr val="000000"/>
              </a:solidFill>
              <a:latin typeface="Courier"/>
            </a:rPr>
            <a:t>y1  -.67147025  -3.6562932   -7.417864</a:t>
          </a:r>
        </a:p>
        <a:p>
          <a:pPr algn="l" rtl="0">
            <a:defRPr sz="1000"/>
          </a:pPr>
          <a:endParaRPr lang="en-US" sz="800" b="0" i="0" u="none" strike="noStrike" baseline="0">
            <a:solidFill>
              <a:srgbClr val="000000"/>
            </a:solidFill>
            <a:latin typeface="Courier"/>
          </a:endParaRPr>
        </a:p>
        <a:p>
          <a:pPr algn="l" rtl="0">
            <a:defRPr sz="1000"/>
          </a:pPr>
          <a:r>
            <a:rPr lang="en-US" sz="800" b="0" i="0" u="none" strike="noStrike" baseline="0">
              <a:solidFill>
                <a:srgbClr val="000000"/>
              </a:solidFill>
              <a:latin typeface="Courier"/>
            </a:rPr>
            <a:t>         count:      count:</a:t>
          </a:r>
        </a:p>
        <a:p>
          <a:pPr algn="l" rtl="0">
            <a:defRPr sz="1000"/>
          </a:pPr>
          <a:r>
            <a:rPr lang="en-US" sz="800" b="0" i="0" u="none" strike="noStrike" baseline="0">
              <a:solidFill>
                <a:srgbClr val="000000"/>
              </a:solidFill>
              <a:latin typeface="Courier"/>
            </a:rPr>
            <a:t>          _x_7       _cons</a:t>
          </a:r>
        </a:p>
        <a:p>
          <a:pPr algn="l" rtl="0">
            <a:defRPr sz="1000"/>
          </a:pPr>
          <a:r>
            <a:rPr lang="en-US" sz="800" b="0" i="0" u="none" strike="noStrike" baseline="0">
              <a:solidFill>
                <a:srgbClr val="000000"/>
              </a:solidFill>
              <a:latin typeface="Courier"/>
            </a:rPr>
            <a:t>y1   .99996872   9.2700617</a:t>
          </a:r>
        </a:p>
        <a:p>
          <a:pPr algn="l" rtl="0">
            <a:defRPr sz="1000"/>
          </a:pPr>
          <a:endParaRPr lang="en-US" sz="800" b="0" i="0" u="none" strike="noStrike" baseline="0">
            <a:solidFill>
              <a:srgbClr val="000000"/>
            </a:solidFill>
            <a:latin typeface="Courier"/>
          </a:endParaRPr>
        </a:p>
        <a:p>
          <a:pPr algn="l" rtl="0">
            <a:defRPr sz="1000"/>
          </a:pPr>
          <a:r>
            <a:rPr lang="en-US" sz="800" b="0" i="0" u="none" strike="noStrike" baseline="0">
              <a:solidFill>
                <a:srgbClr val="000000"/>
              </a:solidFill>
              <a:latin typeface="Courier"/>
            </a:rPr>
            <a:t>*The real value of the association parameter here is .99996872, which rounds to 1.000 in the regression output.</a:t>
          </a:r>
        </a:p>
      </xdr:txBody>
    </xdr:sp>
    <xdr:clientData/>
  </xdr:twoCellAnchor>
  <xdr:oneCellAnchor>
    <xdr:from>
      <xdr:col>2</xdr:col>
      <xdr:colOff>171450</xdr:colOff>
      <xdr:row>45</xdr:row>
      <xdr:rowOff>76200</xdr:rowOff>
    </xdr:from>
    <xdr:ext cx="76200" cy="190500"/>
    <xdr:sp macro="" textlink="">
      <xdr:nvSpPr>
        <xdr:cNvPr id="15373" name="Text Box 13"/>
        <xdr:cNvSpPr txBox="1">
          <a:spLocks noChangeArrowheads="1"/>
        </xdr:cNvSpPr>
      </xdr:nvSpPr>
      <xdr:spPr bwMode="auto">
        <a:xfrm>
          <a:off x="1390650" y="6934200"/>
          <a:ext cx="76200" cy="1905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twoCellAnchor>
    <xdr:from>
      <xdr:col>16</xdr:col>
      <xdr:colOff>47625</xdr:colOff>
      <xdr:row>77</xdr:row>
      <xdr:rowOff>0</xdr:rowOff>
    </xdr:from>
    <xdr:to>
      <xdr:col>23</xdr:col>
      <xdr:colOff>76200</xdr:colOff>
      <xdr:row>176</xdr:row>
      <xdr:rowOff>95250</xdr:rowOff>
    </xdr:to>
    <xdr:sp macro="" textlink="">
      <xdr:nvSpPr>
        <xdr:cNvPr id="15374" name="Text Box 14"/>
        <xdr:cNvSpPr txBox="1">
          <a:spLocks noChangeArrowheads="1"/>
        </xdr:cNvSpPr>
      </xdr:nvSpPr>
      <xdr:spPr bwMode="auto">
        <a:xfrm>
          <a:off x="9801225" y="11734800"/>
          <a:ext cx="4295775" cy="1518285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en-US" sz="800" b="0" i="0" u="none" strike="noStrike" baseline="0">
              <a:solidFill>
                <a:srgbClr val="000000"/>
              </a:solidFill>
              <a:latin typeface="Courier"/>
            </a:rPr>
            <a:t>. table  hed_cont wed_cont, contents(mean  score_n</a:t>
          </a:r>
        </a:p>
        <a:p>
          <a:pPr algn="l" rtl="0">
            <a:defRPr sz="1000"/>
          </a:pPr>
          <a:r>
            <a:rPr lang="en-US" sz="800" b="0" i="0" u="none" strike="noStrike" baseline="0">
              <a:solidFill>
                <a:srgbClr val="000000"/>
              </a:solidFill>
              <a:latin typeface="Courier"/>
            </a:rPr>
            <a:t>&gt; ewer)</a:t>
          </a:r>
        </a:p>
        <a:p>
          <a:pPr algn="l" rtl="0">
            <a:defRPr sz="1000"/>
          </a:pPr>
          <a:endParaRPr lang="en-US" sz="800" b="0" i="0" u="none" strike="noStrike" baseline="0">
            <a:solidFill>
              <a:srgbClr val="000000"/>
            </a:solidFill>
            <a:latin typeface="Courier"/>
          </a:endParaRPr>
        </a:p>
        <a:p>
          <a:pPr algn="l" rtl="0">
            <a:defRPr sz="1000"/>
          </a:pPr>
          <a:r>
            <a:rPr lang="en-US" sz="800" b="0" i="0" u="none" strike="noStrike" baseline="0">
              <a:solidFill>
                <a:srgbClr val="000000"/>
              </a:solidFill>
              <a:latin typeface="Courier"/>
            </a:rPr>
            <a:t>------------------------------------------</a:t>
          </a:r>
        </a:p>
        <a:p>
          <a:pPr algn="l" rtl="0">
            <a:defRPr sz="1000"/>
          </a:pPr>
          <a:r>
            <a:rPr lang="en-US" sz="800" b="0" i="0" u="none" strike="noStrike" baseline="0">
              <a:solidFill>
                <a:srgbClr val="000000"/>
              </a:solidFill>
              <a:latin typeface="Courier"/>
            </a:rPr>
            <a:t>          |            wed_cont           </a:t>
          </a:r>
        </a:p>
        <a:p>
          <a:pPr algn="l" rtl="0">
            <a:defRPr sz="1000"/>
          </a:pPr>
          <a:r>
            <a:rPr lang="en-US" sz="800" b="0" i="0" u="none" strike="noStrike" baseline="0">
              <a:solidFill>
                <a:srgbClr val="000000"/>
              </a:solidFill>
              <a:latin typeface="Courier"/>
            </a:rPr>
            <a:t> hed_cont |   10.5      12      14    17.5</a:t>
          </a:r>
        </a:p>
        <a:p>
          <a:pPr algn="l" rtl="0">
            <a:defRPr sz="1000"/>
          </a:pPr>
          <a:r>
            <a:rPr lang="en-US" sz="800" b="0" i="0" u="none" strike="noStrike" baseline="0">
              <a:solidFill>
                <a:srgbClr val="000000"/>
              </a:solidFill>
              <a:latin typeface="Courier"/>
            </a:rPr>
            <a:t>----------+-------------------------------</a:t>
          </a:r>
        </a:p>
        <a:p>
          <a:pPr algn="l" rtl="0">
            <a:defRPr sz="1000"/>
          </a:pPr>
          <a:r>
            <a:rPr lang="en-US" sz="800" b="0" i="0" u="none" strike="noStrike" baseline="0">
              <a:solidFill>
                <a:srgbClr val="000000"/>
              </a:solidFill>
              <a:latin typeface="Courier"/>
            </a:rPr>
            <a:t>     10.5 | 110.25     126     147  183.75</a:t>
          </a:r>
        </a:p>
        <a:p>
          <a:pPr algn="l" rtl="0">
            <a:defRPr sz="1000"/>
          </a:pPr>
          <a:r>
            <a:rPr lang="en-US" sz="800" b="0" i="0" u="none" strike="noStrike" baseline="0">
              <a:solidFill>
                <a:srgbClr val="000000"/>
              </a:solidFill>
              <a:latin typeface="Courier"/>
            </a:rPr>
            <a:t>       12 |    126     144     168     210</a:t>
          </a:r>
        </a:p>
        <a:p>
          <a:pPr algn="l" rtl="0">
            <a:defRPr sz="1000"/>
          </a:pPr>
          <a:r>
            <a:rPr lang="en-US" sz="800" b="0" i="0" u="none" strike="noStrike" baseline="0">
              <a:solidFill>
                <a:srgbClr val="000000"/>
              </a:solidFill>
              <a:latin typeface="Courier"/>
            </a:rPr>
            <a:t>       14 |    147     168     196     245</a:t>
          </a:r>
        </a:p>
        <a:p>
          <a:pPr algn="l" rtl="0">
            <a:defRPr sz="1000"/>
          </a:pPr>
          <a:r>
            <a:rPr lang="en-US" sz="800" b="0" i="0" u="none" strike="noStrike" baseline="0">
              <a:solidFill>
                <a:srgbClr val="000000"/>
              </a:solidFill>
              <a:latin typeface="Courier"/>
            </a:rPr>
            <a:t>     17.5 | 183.75     210     245  306.25</a:t>
          </a:r>
        </a:p>
        <a:p>
          <a:pPr algn="l" rtl="0">
            <a:defRPr sz="1000"/>
          </a:pPr>
          <a:r>
            <a:rPr lang="en-US" sz="800" b="0" i="0" u="none" strike="noStrike" baseline="0">
              <a:solidFill>
                <a:srgbClr val="000000"/>
              </a:solidFill>
              <a:latin typeface="Courier"/>
            </a:rPr>
            <a:t>------------------------------------------</a:t>
          </a:r>
        </a:p>
        <a:p>
          <a:pPr algn="l" rtl="0">
            <a:defRPr sz="1000"/>
          </a:pPr>
          <a:endParaRPr lang="en-US" sz="800" b="0" i="0" u="none" strike="noStrike" baseline="0">
            <a:solidFill>
              <a:srgbClr val="000000"/>
            </a:solidFill>
            <a:latin typeface="Courier"/>
          </a:endParaRPr>
        </a:p>
        <a:p>
          <a:pPr algn="l" rtl="0">
            <a:defRPr sz="1000"/>
          </a:pPr>
          <a:r>
            <a:rPr lang="en-US" sz="800" b="0" i="0" u="none" strike="noStrike" baseline="0">
              <a:solidFill>
                <a:srgbClr val="000000"/>
              </a:solidFill>
              <a:latin typeface="Courier"/>
            </a:rPr>
            <a:t>. desmat: poisson count hed wed @score_newer</a:t>
          </a:r>
        </a:p>
        <a:p>
          <a:pPr algn="l" rtl="0">
            <a:defRPr sz="1000"/>
          </a:pPr>
          <a:r>
            <a:rPr lang="en-US" sz="800" b="0" i="0" u="none" strike="noStrike" baseline="0">
              <a:solidFill>
                <a:srgbClr val="000000"/>
              </a:solidFill>
              <a:latin typeface="Courier"/>
            </a:rPr>
            <a:t>--------------------------------------------------</a:t>
          </a:r>
        </a:p>
        <a:p>
          <a:pPr algn="l" rtl="0">
            <a:defRPr sz="1000"/>
          </a:pPr>
          <a:r>
            <a:rPr lang="en-US" sz="800" b="0" i="0" u="none" strike="noStrike" baseline="0">
              <a:solidFill>
                <a:srgbClr val="000000"/>
              </a:solidFill>
              <a:latin typeface="Courier"/>
            </a:rPr>
            <a:t>   Poisson regression</a:t>
          </a:r>
        </a:p>
        <a:p>
          <a:pPr algn="l" rtl="0">
            <a:defRPr sz="1000"/>
          </a:pPr>
          <a:r>
            <a:rPr lang="en-US" sz="800" b="0" i="0" u="none" strike="noStrike" baseline="0">
              <a:solidFill>
                <a:srgbClr val="000000"/>
              </a:solidFill>
              <a:latin typeface="Courier"/>
            </a:rPr>
            <a:t>--------------------------------------------------</a:t>
          </a:r>
        </a:p>
        <a:p>
          <a:pPr algn="l" rtl="0">
            <a:defRPr sz="1000"/>
          </a:pPr>
          <a:r>
            <a:rPr lang="en-US" sz="800" b="0" i="0" u="none" strike="noStrike" baseline="0">
              <a:solidFill>
                <a:srgbClr val="000000"/>
              </a:solidFill>
              <a:latin typeface="Courier"/>
            </a:rPr>
            <a:t>   Dependent variable                       count</a:t>
          </a:r>
        </a:p>
        <a:p>
          <a:pPr algn="l" rtl="0">
            <a:defRPr sz="1000"/>
          </a:pPr>
          <a:r>
            <a:rPr lang="en-US" sz="800" b="0" i="0" u="none" strike="noStrike" baseline="0">
              <a:solidFill>
                <a:srgbClr val="000000"/>
              </a:solidFill>
              <a:latin typeface="Courier"/>
            </a:rPr>
            <a:t>   Optimization:                               ml</a:t>
          </a:r>
        </a:p>
        <a:p>
          <a:pPr algn="l" rtl="0">
            <a:defRPr sz="1000"/>
          </a:pPr>
          <a:r>
            <a:rPr lang="en-US" sz="800" b="0" i="0" u="none" strike="noStrike" baseline="0">
              <a:solidFill>
                <a:srgbClr val="000000"/>
              </a:solidFill>
              <a:latin typeface="Courier"/>
            </a:rPr>
            <a:t>   Number of observations:                     16</a:t>
          </a:r>
        </a:p>
        <a:p>
          <a:pPr algn="l" rtl="0">
            <a:defRPr sz="1000"/>
          </a:pPr>
          <a:r>
            <a:rPr lang="en-US" sz="800" b="0" i="0" u="none" strike="noStrike" baseline="0">
              <a:solidFill>
                <a:srgbClr val="000000"/>
              </a:solidFill>
              <a:latin typeface="Courier"/>
            </a:rPr>
            <a:t>   Initial log likelihood:            -221501.223</a:t>
          </a:r>
        </a:p>
        <a:p>
          <a:pPr algn="l" rtl="0">
            <a:defRPr sz="1000"/>
          </a:pPr>
          <a:r>
            <a:rPr lang="en-US" sz="800" b="0" i="0" u="none" strike="noStrike" baseline="0">
              <a:solidFill>
                <a:srgbClr val="000000"/>
              </a:solidFill>
              <a:latin typeface="Courier"/>
            </a:rPr>
            <a:t>   Log likelihood:                     -14014.425</a:t>
          </a:r>
        </a:p>
        <a:p>
          <a:pPr algn="l" rtl="0">
            <a:defRPr sz="1000"/>
          </a:pPr>
          <a:r>
            <a:rPr lang="en-US" sz="800" b="0" i="0" u="none" strike="noStrike" baseline="0">
              <a:solidFill>
                <a:srgbClr val="000000"/>
              </a:solidFill>
              <a:latin typeface="Courier"/>
            </a:rPr>
            <a:t>   LR chi square:                      414973.596</a:t>
          </a:r>
        </a:p>
        <a:p>
          <a:pPr algn="l" rtl="0">
            <a:defRPr sz="1000"/>
          </a:pPr>
          <a:r>
            <a:rPr lang="en-US" sz="800" b="0" i="0" u="none" strike="noStrike" baseline="0">
              <a:solidFill>
                <a:srgbClr val="000000"/>
              </a:solidFill>
              <a:latin typeface="Courier"/>
            </a:rPr>
            <a:t>   Model degrees of freedom:                    7</a:t>
          </a:r>
        </a:p>
        <a:p>
          <a:pPr algn="l" rtl="0">
            <a:defRPr sz="1000"/>
          </a:pPr>
          <a:r>
            <a:rPr lang="en-US" sz="800" b="0" i="0" u="none" strike="noStrike" baseline="0">
              <a:solidFill>
                <a:srgbClr val="000000"/>
              </a:solidFill>
              <a:latin typeface="Courier"/>
            </a:rPr>
            <a:t>   Pseudo R-squared:                        0.937</a:t>
          </a:r>
        </a:p>
        <a:p>
          <a:pPr algn="l" rtl="0">
            <a:defRPr sz="1000"/>
          </a:pPr>
          <a:r>
            <a:rPr lang="en-US" sz="800" b="0" i="0" u="none" strike="noStrike" baseline="0">
              <a:solidFill>
                <a:srgbClr val="000000"/>
              </a:solidFill>
              <a:latin typeface="Courier"/>
            </a:rPr>
            <a:t>   Prob:                                    0.000</a:t>
          </a:r>
        </a:p>
        <a:p>
          <a:pPr algn="l" rtl="0">
            <a:defRPr sz="1000"/>
          </a:pPr>
          <a:r>
            <a:rPr lang="en-US" sz="800" b="0" i="0" u="none" strike="noStrike" baseline="0">
              <a:solidFill>
                <a:srgbClr val="000000"/>
              </a:solidFill>
              <a:latin typeface="Courier"/>
            </a:rPr>
            <a:t>--------------------------------------------------</a:t>
          </a:r>
        </a:p>
        <a:p>
          <a:pPr algn="l" rtl="0">
            <a:defRPr sz="1000"/>
          </a:pPr>
          <a:r>
            <a:rPr lang="en-US" sz="800" b="0" i="0" u="none" strike="noStrike" baseline="0">
              <a:solidFill>
                <a:srgbClr val="000000"/>
              </a:solidFill>
              <a:latin typeface="Courier"/>
            </a:rPr>
            <a:t>nr Effect                      Coeff         s.e.</a:t>
          </a:r>
        </a:p>
        <a:p>
          <a:pPr algn="l" rtl="0">
            <a:defRPr sz="1000"/>
          </a:pPr>
          <a:r>
            <a:rPr lang="en-US" sz="800" b="0" i="0" u="none" strike="noStrike" baseline="0">
              <a:solidFill>
                <a:srgbClr val="000000"/>
              </a:solidFill>
              <a:latin typeface="Courier"/>
            </a:rPr>
            <a:t>--------------------------------------------------</a:t>
          </a:r>
        </a:p>
        <a:p>
          <a:pPr algn="l" rtl="0">
            <a:defRPr sz="1000"/>
          </a:pPr>
          <a:r>
            <a:rPr lang="en-US" sz="800" b="0" i="0" u="none" strike="noStrike" baseline="0">
              <a:solidFill>
                <a:srgbClr val="000000"/>
              </a:solidFill>
              <a:latin typeface="Courier"/>
            </a:rPr>
            <a:t>   count</a:t>
          </a:r>
        </a:p>
        <a:p>
          <a:pPr algn="l" rtl="0">
            <a:defRPr sz="1000"/>
          </a:pPr>
          <a:r>
            <a:rPr lang="en-US" sz="800" b="0" i="0" u="none" strike="noStrike" baseline="0">
              <a:solidFill>
                <a:srgbClr val="000000"/>
              </a:solidFill>
              <a:latin typeface="Courier"/>
            </a:rPr>
            <a:t>     hed</a:t>
          </a:r>
        </a:p>
        <a:p>
          <a:pPr algn="l" rtl="0">
            <a:defRPr sz="1000"/>
          </a:pPr>
          <a:r>
            <a:rPr lang="en-US" sz="800" b="0" i="0" u="none" strike="noStrike" baseline="0">
              <a:solidFill>
                <a:srgbClr val="000000"/>
              </a:solidFill>
              <a:latin typeface="Courier"/>
            </a:rPr>
            <a:t>1      2                      -1.719***     0.009</a:t>
          </a:r>
        </a:p>
        <a:p>
          <a:pPr algn="l" rtl="0">
            <a:defRPr sz="1000"/>
          </a:pPr>
          <a:r>
            <a:rPr lang="en-US" sz="800" b="0" i="0" u="none" strike="noStrike" baseline="0">
              <a:solidFill>
                <a:srgbClr val="000000"/>
              </a:solidFill>
              <a:latin typeface="Courier"/>
            </a:rPr>
            <a:t>2      3                      -6.098***     0.019</a:t>
          </a:r>
        </a:p>
        <a:p>
          <a:pPr algn="l" rtl="0">
            <a:defRPr sz="1000"/>
          </a:pPr>
          <a:r>
            <a:rPr lang="en-US" sz="800" b="0" i="0" u="none" strike="noStrike" baseline="0">
              <a:solidFill>
                <a:srgbClr val="000000"/>
              </a:solidFill>
              <a:latin typeface="Courier"/>
            </a:rPr>
            <a:t>3      4                     -14.193***     0.042</a:t>
          </a:r>
        </a:p>
        <a:p>
          <a:pPr algn="l" rtl="0">
            <a:defRPr sz="1000"/>
          </a:pPr>
          <a:r>
            <a:rPr lang="en-US" sz="800" b="0" i="0" u="none" strike="noStrike" baseline="0">
              <a:solidFill>
                <a:srgbClr val="000000"/>
              </a:solidFill>
              <a:latin typeface="Courier"/>
            </a:rPr>
            <a:t>     wed</a:t>
          </a:r>
        </a:p>
        <a:p>
          <a:pPr algn="l" rtl="0">
            <a:defRPr sz="1000"/>
          </a:pPr>
          <a:r>
            <a:rPr lang="en-US" sz="800" b="0" i="0" u="none" strike="noStrike" baseline="0">
              <a:solidFill>
                <a:srgbClr val="000000"/>
              </a:solidFill>
              <a:latin typeface="Courier"/>
            </a:rPr>
            <a:t>4      2                      -1.571***     0.009</a:t>
          </a:r>
        </a:p>
        <a:p>
          <a:pPr algn="l" rtl="0">
            <a:defRPr sz="1000"/>
          </a:pPr>
          <a:r>
            <a:rPr lang="en-US" sz="800" b="0" i="0" u="none" strike="noStrike" baseline="0">
              <a:solidFill>
                <a:srgbClr val="000000"/>
              </a:solidFill>
              <a:latin typeface="Courier"/>
            </a:rPr>
            <a:t>5      3                      -6.031***     0.019</a:t>
          </a:r>
        </a:p>
        <a:p>
          <a:pPr algn="l" rtl="0">
            <a:defRPr sz="1000"/>
          </a:pPr>
          <a:r>
            <a:rPr lang="en-US" sz="800" b="0" i="0" u="none" strike="noStrike" baseline="0">
              <a:solidFill>
                <a:srgbClr val="000000"/>
              </a:solidFill>
              <a:latin typeface="Courier"/>
            </a:rPr>
            <a:t>6      4                     -14.634***     0.043</a:t>
          </a:r>
        </a:p>
        <a:p>
          <a:pPr algn="l" rtl="0">
            <a:defRPr sz="1000"/>
          </a:pPr>
          <a:r>
            <a:rPr lang="en-US" sz="800" b="0" i="0" u="none" strike="noStrike" baseline="0">
              <a:solidFill>
                <a:srgbClr val="000000"/>
              </a:solidFill>
              <a:latin typeface="Courier"/>
            </a:rPr>
            <a:t>7    score_newer               0.153***     0.000</a:t>
          </a:r>
        </a:p>
        <a:p>
          <a:pPr algn="l" rtl="0">
            <a:defRPr sz="1000"/>
          </a:pPr>
          <a:r>
            <a:rPr lang="en-US" sz="800" b="0" i="0" u="none" strike="noStrike" baseline="0">
              <a:solidFill>
                <a:srgbClr val="000000"/>
              </a:solidFill>
              <a:latin typeface="Courier"/>
            </a:rPr>
            <a:t>8    _cons                    -6.994***     0.047</a:t>
          </a:r>
        </a:p>
        <a:p>
          <a:pPr algn="l" rtl="0">
            <a:defRPr sz="1000"/>
          </a:pPr>
          <a:r>
            <a:rPr lang="en-US" sz="800" b="0" i="0" u="none" strike="noStrike" baseline="0">
              <a:solidFill>
                <a:srgbClr val="000000"/>
              </a:solidFill>
              <a:latin typeface="Courier"/>
            </a:rPr>
            <a:t>--------------------------------------------------</a:t>
          </a:r>
        </a:p>
        <a:p>
          <a:pPr algn="l" rtl="0">
            <a:defRPr sz="1000"/>
          </a:pPr>
          <a:r>
            <a:rPr lang="en-US" sz="800" b="0" i="0" u="none" strike="noStrike" baseline="0">
              <a:solidFill>
                <a:srgbClr val="000000"/>
              </a:solidFill>
              <a:latin typeface="Courier"/>
            </a:rPr>
            <a:t>*   p &lt; .05</a:t>
          </a:r>
        </a:p>
        <a:p>
          <a:pPr algn="l" rtl="0">
            <a:defRPr sz="1000"/>
          </a:pPr>
          <a:r>
            <a:rPr lang="en-US" sz="800" b="0" i="0" u="none" strike="noStrike" baseline="0">
              <a:solidFill>
                <a:srgbClr val="000000"/>
              </a:solidFill>
              <a:latin typeface="Courier"/>
            </a:rPr>
            <a:t>**  p &lt; .01</a:t>
          </a:r>
        </a:p>
        <a:p>
          <a:pPr algn="l" rtl="0">
            <a:defRPr sz="1000"/>
          </a:pPr>
          <a:r>
            <a:rPr lang="en-US" sz="800" b="0" i="0" u="none" strike="noStrike" baseline="0">
              <a:solidFill>
                <a:srgbClr val="000000"/>
              </a:solidFill>
              <a:latin typeface="Courier"/>
            </a:rPr>
            <a:t>*** p &lt; .001</a:t>
          </a:r>
        </a:p>
        <a:p>
          <a:pPr algn="l" rtl="0">
            <a:defRPr sz="1000"/>
          </a:pPr>
          <a:endParaRPr lang="en-US" sz="800" b="0" i="0" u="none" strike="noStrike" baseline="0">
            <a:solidFill>
              <a:srgbClr val="000000"/>
            </a:solidFill>
            <a:latin typeface="Courier"/>
          </a:endParaRPr>
        </a:p>
        <a:p>
          <a:pPr algn="l" rtl="0">
            <a:defRPr sz="1000"/>
          </a:pPr>
          <a:r>
            <a:rPr lang="en-US" sz="800" b="0" i="0" u="none" strike="noStrike" baseline="0">
              <a:solidFill>
                <a:srgbClr val="000000"/>
              </a:solidFill>
              <a:latin typeface="Courier"/>
            </a:rPr>
            <a:t>. poisgof</a:t>
          </a:r>
        </a:p>
        <a:p>
          <a:pPr algn="l" rtl="0">
            <a:defRPr sz="1000"/>
          </a:pPr>
          <a:endParaRPr lang="en-US" sz="800" b="0" i="0" u="none" strike="noStrike" baseline="0">
            <a:solidFill>
              <a:srgbClr val="000000"/>
            </a:solidFill>
            <a:latin typeface="Courier"/>
          </a:endParaRPr>
        </a:p>
        <a:p>
          <a:pPr algn="l" rtl="0">
            <a:defRPr sz="1000"/>
          </a:pPr>
          <a:r>
            <a:rPr lang="en-US" sz="800" b="0" i="0" u="none" strike="noStrike" baseline="0">
              <a:solidFill>
                <a:srgbClr val="000000"/>
              </a:solidFill>
              <a:latin typeface="Courier"/>
            </a:rPr>
            <a:t>         Goodness-of-fit chi2  =  27842.85</a:t>
          </a:r>
        </a:p>
        <a:p>
          <a:pPr algn="l" rtl="0">
            <a:defRPr sz="1000"/>
          </a:pPr>
          <a:r>
            <a:rPr lang="en-US" sz="800" b="0" i="0" u="none" strike="noStrike" baseline="0">
              <a:solidFill>
                <a:srgbClr val="000000"/>
              </a:solidFill>
              <a:latin typeface="Courier"/>
            </a:rPr>
            <a:t>         Prob &gt; chi2(8)        =    0.0000</a:t>
          </a:r>
        </a:p>
        <a:p>
          <a:pPr algn="l" rtl="0">
            <a:defRPr sz="1000"/>
          </a:pPr>
          <a:endParaRPr lang="en-US" sz="800" b="0" i="0" u="none" strike="noStrike" baseline="0">
            <a:solidFill>
              <a:srgbClr val="000000"/>
            </a:solidFill>
            <a:latin typeface="Courier"/>
          </a:endParaRPr>
        </a:p>
        <a:p>
          <a:pPr algn="l" rtl="0">
            <a:defRPr sz="1000"/>
          </a:pPr>
          <a:r>
            <a:rPr lang="en-US" sz="800" b="0" i="0" u="none" strike="noStrike" baseline="0">
              <a:solidFill>
                <a:srgbClr val="000000"/>
              </a:solidFill>
              <a:latin typeface="Courier"/>
            </a:rPr>
            <a:t>. *well, this actually fits the data substantially</a:t>
          </a:r>
        </a:p>
        <a:p>
          <a:pPr algn="l" rtl="0">
            <a:defRPr sz="1000"/>
          </a:pPr>
          <a:r>
            <a:rPr lang="en-US" sz="800" b="0" i="0" u="none" strike="noStrike" baseline="0">
              <a:solidFill>
                <a:srgbClr val="000000"/>
              </a:solidFill>
              <a:latin typeface="Courier"/>
            </a:rPr>
            <a:t>worse than our simpler score linear by linear model.. This suggests that "years of education" spacing between the categories is not optimal- educational boundaries have to do with more than just years of formal education completed. In order to figure out what the optimal spacing between the categories was, we would need some kind of iterative process, and there is one popular one, Goodman's RC model which is not a log linear model and thus needs different software to estimate.</a:t>
          </a:r>
        </a:p>
        <a:p>
          <a:pPr algn="l" rtl="0">
            <a:defRPr sz="1000"/>
          </a:pPr>
          <a:endParaRPr lang="en-US" sz="800" b="0" i="0" u="none" strike="noStrike" baseline="0">
            <a:solidFill>
              <a:srgbClr val="000000"/>
            </a:solidFill>
            <a:latin typeface="Courier"/>
          </a:endParaRPr>
        </a:p>
        <a:p>
          <a:pPr algn="l" rtl="0">
            <a:defRPr sz="1000"/>
          </a:pPr>
          <a:r>
            <a:rPr lang="en-US" sz="800" b="0" i="0" u="none" strike="noStrike" baseline="0">
              <a:solidFill>
                <a:srgbClr val="000000"/>
              </a:solidFill>
              <a:latin typeface="Courier"/>
            </a:rPr>
            <a:t>. predict P_score_newer</a:t>
          </a:r>
        </a:p>
        <a:p>
          <a:pPr algn="l" rtl="0">
            <a:defRPr sz="1000"/>
          </a:pPr>
          <a:r>
            <a:rPr lang="en-US" sz="800" b="0" i="0" u="none" strike="noStrike" baseline="0">
              <a:solidFill>
                <a:srgbClr val="000000"/>
              </a:solidFill>
              <a:latin typeface="Courier"/>
            </a:rPr>
            <a:t>(option n assumed; predicted number of events)</a:t>
          </a:r>
        </a:p>
        <a:p>
          <a:pPr algn="l" rtl="0">
            <a:defRPr sz="1000"/>
          </a:pPr>
          <a:endParaRPr lang="en-US" sz="800" b="0" i="0" u="none" strike="noStrike" baseline="0">
            <a:solidFill>
              <a:srgbClr val="000000"/>
            </a:solidFill>
            <a:latin typeface="Courier"/>
          </a:endParaRPr>
        </a:p>
        <a:p>
          <a:pPr algn="l" rtl="0">
            <a:defRPr sz="1000"/>
          </a:pPr>
          <a:r>
            <a:rPr lang="en-US" sz="800" b="0" i="0" u="none" strike="noStrike" baseline="0">
              <a:solidFill>
                <a:srgbClr val="000000"/>
              </a:solidFill>
              <a:latin typeface="Courier"/>
            </a:rPr>
            <a:t>. table hed wed, contents (sum P_score_newer)</a:t>
          </a:r>
        </a:p>
        <a:p>
          <a:pPr algn="l" rtl="0">
            <a:defRPr sz="1000"/>
          </a:pPr>
          <a:endParaRPr lang="en-US" sz="800" b="0" i="0" u="none" strike="noStrike" baseline="0">
            <a:solidFill>
              <a:srgbClr val="000000"/>
            </a:solidFill>
            <a:latin typeface="Courier"/>
          </a:endParaRPr>
        </a:p>
        <a:p>
          <a:pPr algn="l" rtl="0">
            <a:defRPr sz="1000"/>
          </a:pPr>
          <a:r>
            <a:rPr lang="en-US" sz="800" b="0" i="0" u="none" strike="noStrike" baseline="0">
              <a:solidFill>
                <a:srgbClr val="000000"/>
              </a:solidFill>
              <a:latin typeface="Courier"/>
            </a:rPr>
            <a:t>--------------------------------------------------</a:t>
          </a:r>
        </a:p>
        <a:p>
          <a:pPr algn="l" rtl="0">
            <a:defRPr sz="1000"/>
          </a:pPr>
          <a:r>
            <a:rPr lang="en-US" sz="800" b="0" i="0" u="none" strike="noStrike" baseline="0">
              <a:solidFill>
                <a:srgbClr val="000000"/>
              </a:solidFill>
              <a:latin typeface="Courier"/>
            </a:rPr>
            <a:t>          |                  wed                  </a:t>
          </a:r>
        </a:p>
        <a:p>
          <a:pPr algn="l" rtl="0">
            <a:defRPr sz="1000"/>
          </a:pPr>
          <a:r>
            <a:rPr lang="en-US" sz="800" b="0" i="0" u="none" strike="noStrike" baseline="0">
              <a:solidFill>
                <a:srgbClr val="000000"/>
              </a:solidFill>
              <a:latin typeface="Courier"/>
            </a:rPr>
            <a:t>      hed |        1         2         3         4</a:t>
          </a:r>
        </a:p>
        <a:p>
          <a:pPr algn="l" rtl="0">
            <a:defRPr sz="1000"/>
          </a:pPr>
          <a:r>
            <a:rPr lang="en-US" sz="800" b="0" i="0" u="none" strike="noStrike" baseline="0">
              <a:solidFill>
                <a:srgbClr val="000000"/>
              </a:solidFill>
              <a:latin typeface="Courier"/>
            </a:rPr>
            <a:t>----------+---------------------------------------</a:t>
          </a:r>
        </a:p>
        <a:p>
          <a:pPr algn="l" rtl="0">
            <a:defRPr sz="1000"/>
          </a:pPr>
          <a:r>
            <a:rPr lang="en-US" sz="800" b="0" i="0" u="none" strike="noStrike" baseline="0">
              <a:solidFill>
                <a:srgbClr val="000000"/>
              </a:solidFill>
              <a:latin typeface="Courier"/>
            </a:rPr>
            <a:t>        1 |  18740.4  43113.77  12312.86  617.9755</a:t>
          </a:r>
        </a:p>
        <a:p>
          <a:pPr algn="l" rtl="0">
            <a:defRPr sz="1000"/>
          </a:pPr>
          <a:r>
            <a:rPr lang="en-US" sz="800" b="0" i="0" u="none" strike="noStrike" baseline="0">
              <a:solidFill>
                <a:srgbClr val="000000"/>
              </a:solidFill>
              <a:latin typeface="Courier"/>
            </a:rPr>
            <a:t>        2 | 37206.88  120683.5  54488.87  6095.716</a:t>
          </a:r>
        </a:p>
        <a:p>
          <a:pPr algn="l" rtl="0">
            <a:defRPr sz="1000"/>
          </a:pPr>
          <a:r>
            <a:rPr lang="en-US" sz="800" b="0" i="0" u="none" strike="noStrike" baseline="0">
              <a:solidFill>
                <a:srgbClr val="000000"/>
              </a:solidFill>
              <a:latin typeface="Courier"/>
            </a:rPr>
            <a:t>        3 | 11513.96   59042.7  49096.27  15992.07</a:t>
          </a:r>
        </a:p>
        <a:p>
          <a:pPr algn="l" rtl="0">
            <a:defRPr sz="1000"/>
          </a:pPr>
          <a:r>
            <a:rPr lang="en-US" sz="800" b="0" i="0" u="none" strike="noStrike" baseline="0">
              <a:solidFill>
                <a:srgbClr val="000000"/>
              </a:solidFill>
              <a:latin typeface="Courier"/>
            </a:rPr>
            <a:t>        4 | 959.7554     10970  26560.01  56147.23</a:t>
          </a:r>
        </a:p>
        <a:p>
          <a:pPr algn="l" rtl="0">
            <a:defRPr sz="1000"/>
          </a:pPr>
          <a:r>
            <a:rPr lang="en-US" sz="800" b="0" i="0" u="none" strike="noStrike" baseline="0">
              <a:solidFill>
                <a:srgbClr val="000000"/>
              </a:solidFill>
              <a:latin typeface="Courier"/>
            </a:rPr>
            <a:t>--------------------------------------------------</a:t>
          </a:r>
        </a:p>
        <a:p>
          <a:pPr algn="l" rtl="0">
            <a:defRPr sz="1000"/>
          </a:pPr>
          <a:endParaRPr lang="en-US" sz="800" b="0" i="0" u="none" strike="noStrike" baseline="0">
            <a:solidFill>
              <a:srgbClr val="000000"/>
            </a:solidFill>
            <a:latin typeface="Courier"/>
          </a:endParaRPr>
        </a:p>
        <a:p>
          <a:pPr algn="l" rtl="0">
            <a:defRPr sz="1000"/>
          </a:pPr>
          <a:r>
            <a:rPr lang="en-US" sz="800" b="0" i="0" u="none" strike="noStrike" baseline="0">
              <a:solidFill>
                <a:srgbClr val="000000"/>
              </a:solidFill>
              <a:latin typeface="Courier"/>
            </a:rPr>
            <a:t>. display exp(.153)</a:t>
          </a:r>
        </a:p>
        <a:p>
          <a:pPr algn="l" rtl="0">
            <a:defRPr sz="1000"/>
          </a:pPr>
          <a:r>
            <a:rPr lang="en-US" sz="800" b="0" i="0" u="none" strike="noStrike" baseline="0">
              <a:solidFill>
                <a:srgbClr val="000000"/>
              </a:solidFill>
              <a:latin typeface="Courier"/>
            </a:rPr>
            <a:t>1.165325</a:t>
          </a:r>
        </a:p>
        <a:p>
          <a:pPr algn="l" rtl="0">
            <a:defRPr sz="1000"/>
          </a:pPr>
          <a:endParaRPr lang="en-US" sz="800" b="0" i="0" u="none" strike="noStrike" baseline="0">
            <a:solidFill>
              <a:srgbClr val="000000"/>
            </a:solidFill>
            <a:latin typeface="Courier"/>
          </a:endParaRPr>
        </a:p>
        <a:p>
          <a:pPr algn="l" rtl="0">
            <a:defRPr sz="1000"/>
          </a:pPr>
          <a:r>
            <a:rPr lang="en-US" sz="800" b="0" i="0" u="none" strike="noStrike" baseline="0">
              <a:solidFill>
                <a:srgbClr val="000000"/>
              </a:solidFill>
              <a:latin typeface="Courier"/>
            </a:rPr>
            <a:t>. table  hed_cont wed_cont, contents(sum P_score_n</a:t>
          </a:r>
        </a:p>
        <a:p>
          <a:pPr algn="l" rtl="0">
            <a:defRPr sz="1000"/>
          </a:pPr>
          <a:r>
            <a:rPr lang="en-US" sz="800" b="0" i="0" u="none" strike="noStrike" baseline="0">
              <a:solidFill>
                <a:srgbClr val="000000"/>
              </a:solidFill>
              <a:latin typeface="Courier"/>
            </a:rPr>
            <a:t>&gt; ewer)</a:t>
          </a:r>
        </a:p>
        <a:p>
          <a:pPr algn="l" rtl="0">
            <a:defRPr sz="1000"/>
          </a:pPr>
          <a:endParaRPr lang="en-US" sz="800" b="0" i="0" u="none" strike="noStrike" baseline="0">
            <a:solidFill>
              <a:srgbClr val="000000"/>
            </a:solidFill>
            <a:latin typeface="Courier"/>
          </a:endParaRPr>
        </a:p>
        <a:p>
          <a:pPr algn="l" rtl="0">
            <a:defRPr sz="1000"/>
          </a:pPr>
          <a:r>
            <a:rPr lang="en-US" sz="800" b="0" i="0" u="none" strike="noStrike" baseline="0">
              <a:solidFill>
                <a:srgbClr val="000000"/>
              </a:solidFill>
              <a:latin typeface="Courier"/>
            </a:rPr>
            <a:t>--------------------------------------------------</a:t>
          </a:r>
        </a:p>
        <a:p>
          <a:pPr algn="l" rtl="0">
            <a:defRPr sz="1000"/>
          </a:pPr>
          <a:r>
            <a:rPr lang="en-US" sz="800" b="0" i="0" u="none" strike="noStrike" baseline="0">
              <a:solidFill>
                <a:srgbClr val="000000"/>
              </a:solidFill>
              <a:latin typeface="Courier"/>
            </a:rPr>
            <a:t>          |                wed_cont               </a:t>
          </a:r>
        </a:p>
        <a:p>
          <a:pPr algn="l" rtl="0">
            <a:defRPr sz="1000"/>
          </a:pPr>
          <a:r>
            <a:rPr lang="en-US" sz="800" b="0" i="0" u="none" strike="noStrike" baseline="0">
              <a:solidFill>
                <a:srgbClr val="000000"/>
              </a:solidFill>
              <a:latin typeface="Courier"/>
            </a:rPr>
            <a:t> hed_cont |     10.5        12        14      17.5</a:t>
          </a:r>
        </a:p>
        <a:p>
          <a:pPr algn="l" rtl="0">
            <a:defRPr sz="1000"/>
          </a:pPr>
          <a:r>
            <a:rPr lang="en-US" sz="800" b="0" i="0" u="none" strike="noStrike" baseline="0">
              <a:solidFill>
                <a:srgbClr val="000000"/>
              </a:solidFill>
              <a:latin typeface="Courier"/>
            </a:rPr>
            <a:t>----------+---------------------------------------</a:t>
          </a:r>
        </a:p>
        <a:p>
          <a:pPr algn="l" rtl="0">
            <a:defRPr sz="1000"/>
          </a:pPr>
          <a:r>
            <a:rPr lang="en-US" sz="800" b="0" i="0" u="none" strike="noStrike" baseline="0">
              <a:solidFill>
                <a:srgbClr val="000000"/>
              </a:solidFill>
              <a:latin typeface="Courier"/>
            </a:rPr>
            <a:t>     10.5 |  18740.4  43113.77  12312.86  617.9755</a:t>
          </a:r>
        </a:p>
        <a:p>
          <a:pPr algn="l" rtl="0">
            <a:defRPr sz="1000"/>
          </a:pPr>
          <a:r>
            <a:rPr lang="en-US" sz="800" b="0" i="0" u="none" strike="noStrike" baseline="0">
              <a:solidFill>
                <a:srgbClr val="000000"/>
              </a:solidFill>
              <a:latin typeface="Courier"/>
            </a:rPr>
            <a:t>       12 | 37206.88  120683.5  54488.87  6095.716</a:t>
          </a:r>
        </a:p>
        <a:p>
          <a:pPr algn="l" rtl="0">
            <a:defRPr sz="1000"/>
          </a:pPr>
          <a:r>
            <a:rPr lang="en-US" sz="800" b="0" i="0" u="none" strike="noStrike" baseline="0">
              <a:solidFill>
                <a:srgbClr val="000000"/>
              </a:solidFill>
              <a:latin typeface="Courier"/>
            </a:rPr>
            <a:t>       14 | 11513.96   59042.7  49096.27  15992.07</a:t>
          </a:r>
        </a:p>
        <a:p>
          <a:pPr algn="l" rtl="0">
            <a:defRPr sz="1000"/>
          </a:pPr>
          <a:r>
            <a:rPr lang="en-US" sz="800" b="0" i="0" u="none" strike="noStrike" baseline="0">
              <a:solidFill>
                <a:srgbClr val="000000"/>
              </a:solidFill>
              <a:latin typeface="Courier"/>
            </a:rPr>
            <a:t>     17.5 | 959.7554     10970  26560.01  56147.23</a:t>
          </a:r>
        </a:p>
        <a:p>
          <a:pPr algn="l" rtl="0">
            <a:defRPr sz="1000"/>
          </a:pPr>
          <a:r>
            <a:rPr lang="en-US" sz="800" b="0" i="0" u="none" strike="noStrike" baseline="0">
              <a:solidFill>
                <a:srgbClr val="000000"/>
              </a:solidFill>
              <a:latin typeface="Courier"/>
            </a:rPr>
            <a:t>--------------------------------------------------</a:t>
          </a:r>
        </a:p>
        <a:p>
          <a:pPr algn="l" rtl="0">
            <a:defRPr sz="1000"/>
          </a:pPr>
          <a:endParaRPr lang="en-US" sz="800" b="0" i="0" u="none" strike="noStrike" baseline="0">
            <a:solidFill>
              <a:srgbClr val="000000"/>
            </a:solidFill>
            <a:latin typeface="Courier"/>
          </a:endParaRPr>
        </a:p>
        <a:p>
          <a:pPr algn="l" rtl="0">
            <a:defRPr sz="1000"/>
          </a:pPr>
          <a:r>
            <a:rPr lang="en-US" sz="800" b="0" i="0" u="none" strike="noStrike" baseline="0">
              <a:solidFill>
                <a:srgbClr val="000000"/>
              </a:solidFill>
              <a:latin typeface="Courier"/>
            </a:rPr>
            <a:t>. display ln(18740*120683/(43113*37206))</a:t>
          </a:r>
        </a:p>
        <a:p>
          <a:pPr algn="l" rtl="0">
            <a:defRPr sz="1000"/>
          </a:pPr>
          <a:r>
            <a:rPr lang="en-US" sz="800" b="0" i="0" u="none" strike="noStrike" baseline="0">
              <a:solidFill>
                <a:srgbClr val="000000"/>
              </a:solidFill>
              <a:latin typeface="Courier"/>
            </a:rPr>
            <a:t>.34353294</a:t>
          </a:r>
        </a:p>
        <a:p>
          <a:pPr algn="l" rtl="0">
            <a:defRPr sz="1000"/>
          </a:pPr>
          <a:endParaRPr lang="en-US" sz="800" b="0" i="0" u="none" strike="noStrike" baseline="0">
            <a:solidFill>
              <a:srgbClr val="000000"/>
            </a:solidFill>
            <a:latin typeface="Courier"/>
          </a:endParaRPr>
        </a:p>
        <a:p>
          <a:pPr algn="l" rtl="0">
            <a:defRPr sz="1000"/>
          </a:pPr>
          <a:r>
            <a:rPr lang="en-US" sz="800" b="0" i="0" u="none" strike="noStrike" baseline="0">
              <a:solidFill>
                <a:srgbClr val="000000"/>
              </a:solidFill>
              <a:latin typeface="Courier"/>
            </a:rPr>
            <a:t>. *This is what we calculate by hand in the excel </a:t>
          </a:r>
        </a:p>
        <a:p>
          <a:pPr algn="l" rtl="0">
            <a:defRPr sz="1000"/>
          </a:pPr>
          <a:r>
            <a:rPr lang="en-US" sz="800" b="0" i="0" u="none" strike="noStrike" baseline="0">
              <a:solidFill>
                <a:srgbClr val="000000"/>
              </a:solidFill>
              <a:latin typeface="Courier"/>
            </a:rPr>
            <a:t>&gt; sheet...</a:t>
          </a:r>
        </a:p>
        <a:p>
          <a:pPr algn="l" rtl="0">
            <a:defRPr sz="1000"/>
          </a:pPr>
          <a:r>
            <a:rPr lang="en-US" sz="800" b="0" i="0" u="none" strike="noStrike" baseline="0">
              <a:solidFill>
                <a:srgbClr val="000000"/>
              </a:solidFill>
              <a:latin typeface="Courier"/>
            </a:rPr>
            <a:t>. </a:t>
          </a:r>
        </a:p>
        <a:p>
          <a:pPr algn="l" rtl="0">
            <a:defRPr sz="1000"/>
          </a:pPr>
          <a:endParaRPr lang="en-US" sz="800" b="0" i="0" u="none" strike="noStrike" baseline="0">
            <a:solidFill>
              <a:srgbClr val="000000"/>
            </a:solidFill>
            <a:latin typeface="Courier"/>
          </a:endParaRPr>
        </a:p>
        <a:p>
          <a:pPr algn="l" rtl="0">
            <a:defRPr sz="1000"/>
          </a:pPr>
          <a:endParaRPr lang="en-US" sz="800" b="0" i="0" u="none" strike="noStrike" baseline="0">
            <a:solidFill>
              <a:srgbClr val="000000"/>
            </a:solidFill>
            <a:latin typeface="Courier"/>
          </a:endParaRP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3</xdr:col>
      <xdr:colOff>400050</xdr:colOff>
      <xdr:row>28</xdr:row>
      <xdr:rowOff>47625</xdr:rowOff>
    </xdr:from>
    <xdr:to>
      <xdr:col>15</xdr:col>
      <xdr:colOff>276225</xdr:colOff>
      <xdr:row>145</xdr:row>
      <xdr:rowOff>133350</xdr:rowOff>
    </xdr:to>
    <xdr:sp macro="" textlink="">
      <xdr:nvSpPr>
        <xdr:cNvPr id="16385" name="Text Box 1"/>
        <xdr:cNvSpPr txBox="1">
          <a:spLocks noChangeArrowheads="1"/>
        </xdr:cNvSpPr>
      </xdr:nvSpPr>
      <xdr:spPr bwMode="auto">
        <a:xfrm>
          <a:off x="2228850" y="4314825"/>
          <a:ext cx="7191375" cy="179165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800" b="0" i="0" u="none" strike="noStrike" baseline="0">
              <a:solidFill>
                <a:srgbClr val="000000"/>
              </a:solidFill>
              <a:latin typeface="Courier New"/>
              <a:cs typeface="Courier New"/>
            </a:rPr>
            <a:t>My Input: a type 2 association (RC model) with husband’s education and wife’s education:</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Input:</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man 2</a:t>
          </a:r>
        </a:p>
        <a:p>
          <a:pPr algn="l" rtl="0">
            <a:defRPr sz="1000"/>
          </a:pPr>
          <a:r>
            <a:rPr lang="en-US" sz="800" b="0" i="0" u="none" strike="noStrike" baseline="0">
              <a:solidFill>
                <a:srgbClr val="000000"/>
              </a:solidFill>
              <a:latin typeface="Courier New"/>
              <a:cs typeface="Courier New"/>
            </a:rPr>
            <a:t>dim 4 4</a:t>
          </a:r>
        </a:p>
        <a:p>
          <a:pPr algn="l" rtl="0">
            <a:defRPr sz="1000"/>
          </a:pPr>
          <a:r>
            <a:rPr lang="en-US" sz="800" b="0" i="0" u="none" strike="noStrike" baseline="0">
              <a:solidFill>
                <a:srgbClr val="000000"/>
              </a:solidFill>
              <a:latin typeface="Courier New"/>
              <a:cs typeface="Courier New"/>
            </a:rPr>
            <a:t>lab H W</a:t>
          </a:r>
        </a:p>
        <a:p>
          <a:pPr algn="l" rtl="0">
            <a:defRPr sz="1000"/>
          </a:pPr>
          <a:r>
            <a:rPr lang="en-US" sz="800" b="0" i="0" u="none" strike="noStrike" baseline="0">
              <a:solidFill>
                <a:srgbClr val="000000"/>
              </a:solidFill>
              <a:latin typeface="Courier New"/>
              <a:cs typeface="Courier New"/>
            </a:rPr>
            <a:t>mod {H,W,ass2(H,W,5a)}</a:t>
          </a:r>
        </a:p>
        <a:p>
          <a:pPr algn="l" rtl="0">
            <a:defRPr sz="1000"/>
          </a:pPr>
          <a:r>
            <a:rPr lang="en-US" sz="800" b="0" i="0" u="none" strike="noStrike" baseline="0">
              <a:solidFill>
                <a:srgbClr val="000000"/>
              </a:solidFill>
              <a:latin typeface="Courier New"/>
              <a:cs typeface="Courier New"/>
            </a:rPr>
            <a:t>dat [32016 33374 8407 988</a:t>
          </a:r>
        </a:p>
        <a:p>
          <a:pPr algn="l" rtl="0">
            <a:defRPr sz="1000"/>
          </a:pPr>
          <a:r>
            <a:rPr lang="en-US" sz="800" b="0" i="0" u="none" strike="noStrike" baseline="0">
              <a:solidFill>
                <a:srgbClr val="000000"/>
              </a:solidFill>
              <a:latin typeface="Courier New"/>
              <a:cs typeface="Courier New"/>
            </a:rPr>
            <a:t>28370 137876 43783 8446</a:t>
          </a:r>
        </a:p>
        <a:p>
          <a:pPr algn="l" rtl="0">
            <a:defRPr sz="1000"/>
          </a:pPr>
          <a:r>
            <a:rPr lang="en-US" sz="800" b="0" i="0" u="none" strike="noStrike" baseline="0">
              <a:solidFill>
                <a:srgbClr val="000000"/>
              </a:solidFill>
              <a:latin typeface="Courier New"/>
              <a:cs typeface="Courier New"/>
            </a:rPr>
            <a:t>7051 48766 61633 18195</a:t>
          </a:r>
        </a:p>
        <a:p>
          <a:pPr algn="l" rtl="0">
            <a:defRPr sz="1000"/>
          </a:pPr>
          <a:r>
            <a:rPr lang="en-US" sz="800" b="0" i="0" u="none" strike="noStrike" baseline="0">
              <a:solidFill>
                <a:srgbClr val="000000"/>
              </a:solidFill>
              <a:latin typeface="Courier New"/>
              <a:cs typeface="Courier New"/>
            </a:rPr>
            <a:t>984 13794 28635 51224]</a:t>
          </a:r>
        </a:p>
        <a:p>
          <a:pPr algn="l" rtl="0">
            <a:defRPr sz="1000"/>
          </a:pPr>
          <a:endParaRPr lang="en-US" sz="800" b="0" i="0" u="none" strike="noStrike" baseline="0">
            <a:solidFill>
              <a:srgbClr val="000000"/>
            </a:solidFill>
            <a:latin typeface="Courier New"/>
            <a:cs typeface="Courier New"/>
          </a:endParaRP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Output:</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LEM: log-linear and event history analysis with missing data.</a:t>
          </a:r>
        </a:p>
        <a:p>
          <a:pPr algn="l" rtl="0">
            <a:defRPr sz="1000"/>
          </a:pPr>
          <a:r>
            <a:rPr lang="en-US" sz="800" b="0" i="0" u="none" strike="noStrike" baseline="0">
              <a:solidFill>
                <a:srgbClr val="000000"/>
              </a:solidFill>
              <a:latin typeface="Courier New"/>
              <a:cs typeface="Courier New"/>
            </a:rPr>
            <a:t>Developed by Jeroen Vermunt (c), Tilburg University, The Netherlands.</a:t>
          </a:r>
        </a:p>
        <a:p>
          <a:pPr algn="l" rtl="0">
            <a:defRPr sz="1000"/>
          </a:pPr>
          <a:r>
            <a:rPr lang="en-US" sz="800" b="0" i="0" u="none" strike="noStrike" baseline="0">
              <a:solidFill>
                <a:srgbClr val="000000"/>
              </a:solidFill>
              <a:latin typeface="Courier New"/>
              <a:cs typeface="Courier New"/>
            </a:rPr>
            <a:t>Version 1.0 (September 18, 1997).</a:t>
          </a:r>
        </a:p>
        <a:p>
          <a:pPr algn="l" rtl="0">
            <a:defRPr sz="1000"/>
          </a:pPr>
          <a:endParaRPr lang="en-US" sz="800" b="0" i="0" u="none" strike="noStrike" baseline="0">
            <a:solidFill>
              <a:srgbClr val="000000"/>
            </a:solidFill>
            <a:latin typeface="Courier New"/>
            <a:cs typeface="Courier New"/>
          </a:endParaRP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INPUT ***</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man 2</a:t>
          </a:r>
        </a:p>
        <a:p>
          <a:pPr algn="l" rtl="0">
            <a:defRPr sz="1000"/>
          </a:pPr>
          <a:r>
            <a:rPr lang="en-US" sz="800" b="0" i="0" u="none" strike="noStrike" baseline="0">
              <a:solidFill>
                <a:srgbClr val="000000"/>
              </a:solidFill>
              <a:latin typeface="Courier New"/>
              <a:cs typeface="Courier New"/>
            </a:rPr>
            <a:t>  dim 4 4</a:t>
          </a:r>
        </a:p>
        <a:p>
          <a:pPr algn="l" rtl="0">
            <a:defRPr sz="1000"/>
          </a:pPr>
          <a:r>
            <a:rPr lang="en-US" sz="800" b="0" i="0" u="none" strike="noStrike" baseline="0">
              <a:solidFill>
                <a:srgbClr val="000000"/>
              </a:solidFill>
              <a:latin typeface="Courier New"/>
              <a:cs typeface="Courier New"/>
            </a:rPr>
            <a:t>  lab H W</a:t>
          </a:r>
        </a:p>
        <a:p>
          <a:pPr algn="l" rtl="0">
            <a:defRPr sz="1000"/>
          </a:pPr>
          <a:r>
            <a:rPr lang="en-US" sz="800" b="0" i="0" u="none" strike="noStrike" baseline="0">
              <a:solidFill>
                <a:srgbClr val="000000"/>
              </a:solidFill>
              <a:latin typeface="Courier New"/>
              <a:cs typeface="Courier New"/>
            </a:rPr>
            <a:t>  mod {H,W,ass2(H,W,5a)}</a:t>
          </a:r>
        </a:p>
        <a:p>
          <a:pPr algn="l" rtl="0">
            <a:defRPr sz="1000"/>
          </a:pPr>
          <a:r>
            <a:rPr lang="en-US" sz="800" b="0" i="0" u="none" strike="noStrike" baseline="0">
              <a:solidFill>
                <a:srgbClr val="000000"/>
              </a:solidFill>
              <a:latin typeface="Courier New"/>
              <a:cs typeface="Courier New"/>
            </a:rPr>
            <a:t>  dat [32016 33374 8407 988</a:t>
          </a:r>
        </a:p>
        <a:p>
          <a:pPr algn="l" rtl="0">
            <a:defRPr sz="1000"/>
          </a:pPr>
          <a:r>
            <a:rPr lang="en-US" sz="800" b="0" i="0" u="none" strike="noStrike" baseline="0">
              <a:solidFill>
                <a:srgbClr val="000000"/>
              </a:solidFill>
              <a:latin typeface="Courier New"/>
              <a:cs typeface="Courier New"/>
            </a:rPr>
            <a:t>  28370 137876 43783 8446</a:t>
          </a:r>
        </a:p>
        <a:p>
          <a:pPr algn="l" rtl="0">
            <a:defRPr sz="1000"/>
          </a:pPr>
          <a:r>
            <a:rPr lang="en-US" sz="800" b="0" i="0" u="none" strike="noStrike" baseline="0">
              <a:solidFill>
                <a:srgbClr val="000000"/>
              </a:solidFill>
              <a:latin typeface="Courier New"/>
              <a:cs typeface="Courier New"/>
            </a:rPr>
            <a:t>  7051 48766 61633 18195</a:t>
          </a:r>
        </a:p>
        <a:p>
          <a:pPr algn="l" rtl="0">
            <a:defRPr sz="1000"/>
          </a:pPr>
          <a:r>
            <a:rPr lang="en-US" sz="800" b="0" i="0" u="none" strike="noStrike" baseline="0">
              <a:solidFill>
                <a:srgbClr val="000000"/>
              </a:solidFill>
              <a:latin typeface="Courier New"/>
              <a:cs typeface="Courier New"/>
            </a:rPr>
            <a:t>  984 13794 28635 51224]</a:t>
          </a:r>
        </a:p>
        <a:p>
          <a:pPr algn="l" rtl="0">
            <a:defRPr sz="1000"/>
          </a:pPr>
          <a:r>
            <a:rPr lang="en-US" sz="800" b="0" i="0" u="none" strike="noStrike" baseline="0">
              <a:solidFill>
                <a:srgbClr val="000000"/>
              </a:solidFill>
              <a:latin typeface="Courier New"/>
              <a:cs typeface="Courier New"/>
            </a:rPr>
            <a:t>  </a:t>
          </a:r>
        </a:p>
        <a:p>
          <a:pPr algn="l" rtl="0">
            <a:defRPr sz="1000"/>
          </a:pPr>
          <a:endParaRPr lang="en-US" sz="800" b="0" i="0" u="none" strike="noStrike" baseline="0">
            <a:solidFill>
              <a:srgbClr val="000000"/>
            </a:solidFill>
            <a:latin typeface="Courier New"/>
            <a:cs typeface="Courier New"/>
          </a:endParaRP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STATISTICS ***</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Number of iterations = 62</a:t>
          </a:r>
        </a:p>
        <a:p>
          <a:pPr algn="l" rtl="0">
            <a:defRPr sz="1000"/>
          </a:pPr>
          <a:r>
            <a:rPr lang="en-US" sz="800" b="0" i="0" u="none" strike="noStrike" baseline="0">
              <a:solidFill>
                <a:srgbClr val="000000"/>
              </a:solidFill>
              <a:latin typeface="Courier New"/>
              <a:cs typeface="Courier New"/>
            </a:rPr>
            <a:t>  Converge criterion   = 0.0000009227</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X-squared            = 11374.7967 (0.0000)</a:t>
          </a:r>
        </a:p>
        <a:p>
          <a:pPr algn="l" rtl="0">
            <a:defRPr sz="1000"/>
          </a:pPr>
          <a:r>
            <a:rPr lang="en-US" sz="800" b="0" i="0" u="none" strike="noStrike" baseline="0">
              <a:solidFill>
                <a:srgbClr val="000000"/>
              </a:solidFill>
              <a:latin typeface="Courier New"/>
              <a:cs typeface="Courier New"/>
            </a:rPr>
            <a:t>  L-squared            = 10528.7995 (0.0000)</a:t>
          </a:r>
        </a:p>
        <a:p>
          <a:pPr algn="l" rtl="0">
            <a:defRPr sz="1000"/>
          </a:pPr>
          <a:r>
            <a:rPr lang="en-US" sz="800" b="0" i="0" u="none" strike="noStrike" baseline="0">
              <a:solidFill>
                <a:srgbClr val="000000"/>
              </a:solidFill>
              <a:latin typeface="Courier New"/>
              <a:cs typeface="Courier New"/>
            </a:rPr>
            <a:t>  Cressie-Read         = 11029.4300 (0.0000)</a:t>
          </a:r>
        </a:p>
        <a:p>
          <a:pPr algn="l" rtl="0">
            <a:defRPr sz="1000"/>
          </a:pPr>
          <a:r>
            <a:rPr lang="en-US" sz="800" b="0" i="0" u="none" strike="noStrike" baseline="0">
              <a:solidFill>
                <a:srgbClr val="000000"/>
              </a:solidFill>
              <a:latin typeface="Courier New"/>
              <a:cs typeface="Courier New"/>
            </a:rPr>
            <a:t>  Dissimilarity index  = 0.0622</a:t>
          </a:r>
        </a:p>
        <a:p>
          <a:pPr algn="l" rtl="0">
            <a:defRPr sz="1000"/>
          </a:pPr>
          <a:r>
            <a:rPr lang="en-US" sz="800" b="0" i="0" u="none" strike="noStrike" baseline="0">
              <a:solidFill>
                <a:srgbClr val="000000"/>
              </a:solidFill>
              <a:latin typeface="Courier New"/>
              <a:cs typeface="Courier New"/>
            </a:rPr>
            <a:t>  Degrees of freedom   = 4</a:t>
          </a:r>
        </a:p>
        <a:p>
          <a:pPr algn="l" rtl="0">
            <a:defRPr sz="1000"/>
          </a:pPr>
          <a:r>
            <a:rPr lang="en-US" sz="800" b="0" i="0" u="none" strike="noStrike" baseline="0">
              <a:solidFill>
                <a:srgbClr val="000000"/>
              </a:solidFill>
              <a:latin typeface="Courier New"/>
              <a:cs typeface="Courier New"/>
            </a:rPr>
            <a:t>  Log-likelihood       = -1235422.80534</a:t>
          </a:r>
        </a:p>
        <a:p>
          <a:pPr algn="l" rtl="0">
            <a:defRPr sz="1000"/>
          </a:pPr>
          <a:r>
            <a:rPr lang="en-US" sz="800" b="0" i="0" u="none" strike="noStrike" baseline="0">
              <a:solidFill>
                <a:srgbClr val="000000"/>
              </a:solidFill>
              <a:latin typeface="Courier New"/>
              <a:cs typeface="Courier New"/>
            </a:rPr>
            <a:t>  Number of parameters = 11 (+1)</a:t>
          </a:r>
        </a:p>
        <a:p>
          <a:pPr algn="l" rtl="0">
            <a:defRPr sz="1000"/>
          </a:pPr>
          <a:r>
            <a:rPr lang="en-US" sz="800" b="0" i="0" u="none" strike="noStrike" baseline="0">
              <a:solidFill>
                <a:srgbClr val="000000"/>
              </a:solidFill>
              <a:latin typeface="Courier New"/>
              <a:cs typeface="Courier New"/>
            </a:rPr>
            <a:t>  Sample size          = 523542.0</a:t>
          </a:r>
        </a:p>
        <a:p>
          <a:pPr algn="l" rtl="0">
            <a:defRPr sz="1000"/>
          </a:pPr>
          <a:r>
            <a:rPr lang="en-US" sz="800" b="0" i="0" u="none" strike="noStrike" baseline="0">
              <a:solidFill>
                <a:srgbClr val="000000"/>
              </a:solidFill>
              <a:latin typeface="Courier New"/>
              <a:cs typeface="Courier New"/>
            </a:rPr>
            <a:t>  BIC(L-squared)       = 10476.1260</a:t>
          </a:r>
        </a:p>
        <a:p>
          <a:pPr algn="l" rtl="0">
            <a:defRPr sz="1000"/>
          </a:pPr>
          <a:r>
            <a:rPr lang="en-US" sz="800" b="0" i="0" u="none" strike="noStrike" baseline="0">
              <a:solidFill>
                <a:srgbClr val="000000"/>
              </a:solidFill>
              <a:latin typeface="Courier New"/>
              <a:cs typeface="Courier New"/>
            </a:rPr>
            <a:t>  AIC(L-squared)       = 10520.7995</a:t>
          </a:r>
        </a:p>
        <a:p>
          <a:pPr algn="l" rtl="0">
            <a:defRPr sz="1000"/>
          </a:pPr>
          <a:r>
            <a:rPr lang="en-US" sz="800" b="0" i="0" u="none" strike="noStrike" baseline="0">
              <a:solidFill>
                <a:srgbClr val="000000"/>
              </a:solidFill>
              <a:latin typeface="Courier New"/>
              <a:cs typeface="Courier New"/>
            </a:rPr>
            <a:t>  BIC(log-likelihood)  = 2470990.4628</a:t>
          </a:r>
        </a:p>
        <a:p>
          <a:pPr algn="l" rtl="0">
            <a:defRPr sz="1000"/>
          </a:pPr>
          <a:r>
            <a:rPr lang="en-US" sz="800" b="0" i="0" u="none" strike="noStrike" baseline="0">
              <a:solidFill>
                <a:srgbClr val="000000"/>
              </a:solidFill>
              <a:latin typeface="Courier New"/>
              <a:cs typeface="Courier New"/>
            </a:rPr>
            <a:t>  AIC(log-likelihood)  = 2470867.6107</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WARNING: no information is provided on identification of parameters</a:t>
          </a:r>
        </a:p>
        <a:p>
          <a:pPr algn="l" rtl="0">
            <a:defRPr sz="1000"/>
          </a:pPr>
          <a:endParaRPr lang="en-US" sz="800" b="0" i="0" u="none" strike="noStrike" baseline="0">
            <a:solidFill>
              <a:srgbClr val="000000"/>
            </a:solidFill>
            <a:latin typeface="Courier New"/>
            <a:cs typeface="Courier New"/>
          </a:endParaRPr>
        </a:p>
        <a:p>
          <a:pPr algn="l" rtl="0">
            <a:defRPr sz="1000"/>
          </a:pPr>
          <a:endParaRPr lang="en-US" sz="800" b="0" i="0" u="none" strike="noStrike" baseline="0">
            <a:solidFill>
              <a:srgbClr val="000000"/>
            </a:solidFill>
            <a:latin typeface="Courier New"/>
            <a:cs typeface="Courier New"/>
          </a:endParaRP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FREQUENCIES ***</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H W     observed  estimated  std. res.</a:t>
          </a:r>
        </a:p>
        <a:p>
          <a:pPr algn="l" rtl="0">
            <a:defRPr sz="1000"/>
          </a:pPr>
          <a:r>
            <a:rPr lang="en-US" sz="800" b="0" i="0" u="none" strike="noStrike" baseline="0">
              <a:solidFill>
                <a:srgbClr val="000000"/>
              </a:solidFill>
              <a:latin typeface="Courier New"/>
              <a:cs typeface="Courier New"/>
            </a:rPr>
            <a:t>  1 1   32016.000  29323.716     15.722</a:t>
          </a:r>
        </a:p>
        <a:p>
          <a:pPr algn="l" rtl="0">
            <a:defRPr sz="1000"/>
          </a:pPr>
          <a:r>
            <a:rPr lang="en-US" sz="800" b="0" i="0" u="none" strike="noStrike" baseline="0">
              <a:solidFill>
                <a:srgbClr val="000000"/>
              </a:solidFill>
              <a:latin typeface="Courier New"/>
              <a:cs typeface="Courier New"/>
            </a:rPr>
            <a:t>  1 2   33374.000  38493.237    -26.092</a:t>
          </a:r>
        </a:p>
        <a:p>
          <a:pPr algn="l" rtl="0">
            <a:defRPr sz="1000"/>
          </a:pPr>
          <a:r>
            <a:rPr lang="en-US" sz="800" b="0" i="0" u="none" strike="noStrike" baseline="0">
              <a:solidFill>
                <a:srgbClr val="000000"/>
              </a:solidFill>
              <a:latin typeface="Courier New"/>
              <a:cs typeface="Courier New"/>
            </a:rPr>
            <a:t>  1 3    8407.000   6653.414     21.498</a:t>
          </a:r>
        </a:p>
        <a:p>
          <a:pPr algn="l" rtl="0">
            <a:defRPr sz="1000"/>
          </a:pPr>
          <a:r>
            <a:rPr lang="en-US" sz="800" b="0" i="0" u="none" strike="noStrike" baseline="0">
              <a:solidFill>
                <a:srgbClr val="000000"/>
              </a:solidFill>
              <a:latin typeface="Courier New"/>
              <a:cs typeface="Courier New"/>
            </a:rPr>
            <a:t>  1 4     988.000    314.697     37.955</a:t>
          </a:r>
        </a:p>
        <a:p>
          <a:pPr algn="l" rtl="0">
            <a:defRPr sz="1000"/>
          </a:pPr>
          <a:r>
            <a:rPr lang="en-US" sz="800" b="0" i="0" u="none" strike="noStrike" baseline="0">
              <a:solidFill>
                <a:srgbClr val="000000"/>
              </a:solidFill>
              <a:latin typeface="Courier New"/>
              <a:cs typeface="Courier New"/>
            </a:rPr>
            <a:t>  2 1   28370.000  33184.593    -26.430</a:t>
          </a:r>
        </a:p>
        <a:p>
          <a:pPr algn="l" rtl="0">
            <a:defRPr sz="1000"/>
          </a:pPr>
          <a:r>
            <a:rPr lang="en-US" sz="800" b="0" i="0" u="none" strike="noStrike" baseline="0">
              <a:solidFill>
                <a:srgbClr val="000000"/>
              </a:solidFill>
              <a:latin typeface="Courier New"/>
              <a:cs typeface="Courier New"/>
            </a:rPr>
            <a:t>  2 2  137876.000 125988.448     33.491</a:t>
          </a:r>
        </a:p>
        <a:p>
          <a:pPr algn="l" rtl="0">
            <a:defRPr sz="1000"/>
          </a:pPr>
          <a:r>
            <a:rPr lang="en-US" sz="800" b="0" i="0" u="none" strike="noStrike" baseline="0">
              <a:solidFill>
                <a:srgbClr val="000000"/>
              </a:solidFill>
              <a:latin typeface="Courier New"/>
              <a:cs typeface="Courier New"/>
            </a:rPr>
            <a:t>  2 3   43783.000  51752.316    -35.031</a:t>
          </a:r>
        </a:p>
        <a:p>
          <a:pPr algn="l" rtl="0">
            <a:defRPr sz="1000"/>
          </a:pPr>
          <a:r>
            <a:rPr lang="en-US" sz="800" b="0" i="0" u="none" strike="noStrike" baseline="0">
              <a:solidFill>
                <a:srgbClr val="000000"/>
              </a:solidFill>
              <a:latin typeface="Courier New"/>
              <a:cs typeface="Courier New"/>
            </a:rPr>
            <a:t>  2 4    8446.000   7549.708     10.315</a:t>
          </a:r>
        </a:p>
        <a:p>
          <a:pPr algn="l" rtl="0">
            <a:defRPr sz="1000"/>
          </a:pPr>
          <a:r>
            <a:rPr lang="en-US" sz="800" b="0" i="0" u="none" strike="noStrike" baseline="0">
              <a:solidFill>
                <a:srgbClr val="000000"/>
              </a:solidFill>
              <a:latin typeface="Courier New"/>
              <a:cs typeface="Courier New"/>
            </a:rPr>
            <a:t>  3 1    7051.000   5547.488     20.186</a:t>
          </a:r>
        </a:p>
        <a:p>
          <a:pPr algn="l" rtl="0">
            <a:defRPr sz="1000"/>
          </a:pPr>
          <a:r>
            <a:rPr lang="en-US" sz="800" b="0" i="0" u="none" strike="noStrike" baseline="0">
              <a:solidFill>
                <a:srgbClr val="000000"/>
              </a:solidFill>
              <a:latin typeface="Courier New"/>
              <a:cs typeface="Courier New"/>
            </a:rPr>
            <a:t>  3 2   48766.000  56545.669    -32.716</a:t>
          </a:r>
        </a:p>
        <a:p>
          <a:pPr algn="l" rtl="0">
            <a:defRPr sz="1000"/>
          </a:pPr>
          <a:r>
            <a:rPr lang="en-US" sz="800" b="0" i="0" u="none" strike="noStrike" baseline="0">
              <a:solidFill>
                <a:srgbClr val="000000"/>
              </a:solidFill>
              <a:latin typeface="Courier New"/>
              <a:cs typeface="Courier New"/>
            </a:rPr>
            <a:t>  3 3   61633.000  51950.996     42.478</a:t>
          </a:r>
        </a:p>
        <a:p>
          <a:pPr algn="l" rtl="0">
            <a:defRPr sz="1000"/>
          </a:pPr>
          <a:r>
            <a:rPr lang="en-US" sz="800" b="0" i="0" u="none" strike="noStrike" baseline="0">
              <a:solidFill>
                <a:srgbClr val="000000"/>
              </a:solidFill>
              <a:latin typeface="Courier New"/>
              <a:cs typeface="Courier New"/>
            </a:rPr>
            <a:t>  3 4   18195.000  21600.815    -23.173</a:t>
          </a:r>
        </a:p>
        <a:p>
          <a:pPr algn="l" rtl="0">
            <a:defRPr sz="1000"/>
          </a:pPr>
          <a:r>
            <a:rPr lang="en-US" sz="800" b="0" i="0" u="none" strike="noStrike" baseline="0">
              <a:solidFill>
                <a:srgbClr val="000000"/>
              </a:solidFill>
              <a:latin typeface="Courier New"/>
              <a:cs typeface="Courier New"/>
            </a:rPr>
            <a:t>  4 1     984.000    365.203     32.380</a:t>
          </a:r>
        </a:p>
        <a:p>
          <a:pPr algn="l" rtl="0">
            <a:defRPr sz="1000"/>
          </a:pPr>
          <a:r>
            <a:rPr lang="en-US" sz="800" b="0" i="0" u="none" strike="noStrike" baseline="0">
              <a:solidFill>
                <a:srgbClr val="000000"/>
              </a:solidFill>
              <a:latin typeface="Courier New"/>
              <a:cs typeface="Courier New"/>
            </a:rPr>
            <a:t>  4 2   13794.000  12782.646      8.945</a:t>
          </a:r>
        </a:p>
        <a:p>
          <a:pPr algn="l" rtl="0">
            <a:defRPr sz="1000"/>
          </a:pPr>
          <a:r>
            <a:rPr lang="en-US" sz="800" b="0" i="0" u="none" strike="noStrike" baseline="0">
              <a:solidFill>
                <a:srgbClr val="000000"/>
              </a:solidFill>
              <a:latin typeface="Courier New"/>
              <a:cs typeface="Courier New"/>
            </a:rPr>
            <a:t>  4 3   28635.000  32101.274    -19.346</a:t>
          </a:r>
        </a:p>
        <a:p>
          <a:pPr algn="l" rtl="0">
            <a:defRPr sz="1000"/>
          </a:pPr>
          <a:r>
            <a:rPr lang="en-US" sz="800" b="0" i="0" u="none" strike="noStrike" baseline="0">
              <a:solidFill>
                <a:srgbClr val="000000"/>
              </a:solidFill>
              <a:latin typeface="Courier New"/>
              <a:cs typeface="Courier New"/>
            </a:rPr>
            <a:t>  4 4   51224.000  49387.781      8.263</a:t>
          </a:r>
        </a:p>
        <a:p>
          <a:pPr algn="l" rtl="0">
            <a:defRPr sz="1000"/>
          </a:pPr>
          <a:endParaRPr lang="en-US" sz="800" b="0" i="0" u="none" strike="noStrike" baseline="0">
            <a:solidFill>
              <a:srgbClr val="000000"/>
            </a:solidFill>
            <a:latin typeface="Courier New"/>
            <a:cs typeface="Courier New"/>
          </a:endParaRPr>
        </a:p>
        <a:p>
          <a:pPr algn="l" rtl="0">
            <a:defRPr sz="1000"/>
          </a:pPr>
          <a:endParaRPr lang="en-US" sz="800" b="0" i="0" u="none" strike="noStrike" baseline="0">
            <a:solidFill>
              <a:srgbClr val="000000"/>
            </a:solidFill>
            <a:latin typeface="Courier New"/>
            <a:cs typeface="Courier New"/>
          </a:endParaRP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LOG-LINEAR PARAMETERS ***</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TABLE HW [or P(HW)] *</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effect           beta   exp(beta)</a:t>
          </a:r>
        </a:p>
        <a:p>
          <a:pPr algn="l" rtl="0">
            <a:defRPr sz="1000"/>
          </a:pPr>
          <a:r>
            <a:rPr lang="en-US" sz="800" b="0" i="0" u="none" strike="noStrike" baseline="0">
              <a:solidFill>
                <a:srgbClr val="000000"/>
              </a:solidFill>
              <a:latin typeface="Courier New"/>
              <a:cs typeface="Courier New"/>
            </a:rPr>
            <a:t>  main           9.6424  1.54E+0004 </a:t>
          </a:r>
        </a:p>
        <a:p>
          <a:pPr algn="l" rtl="0">
            <a:defRPr sz="1000"/>
          </a:pPr>
          <a:r>
            <a:rPr lang="en-US" sz="800" b="0" i="0" u="none" strike="noStrike" baseline="0">
              <a:solidFill>
                <a:srgbClr val="000000"/>
              </a:solidFill>
              <a:latin typeface="Courier New"/>
              <a:cs typeface="Courier New"/>
            </a:rPr>
            <a:t>  H </a:t>
          </a:r>
        </a:p>
        <a:p>
          <a:pPr algn="l" rtl="0">
            <a:defRPr sz="1000"/>
          </a:pPr>
          <a:r>
            <a:rPr lang="en-US" sz="800" b="0" i="0" u="none" strike="noStrike" baseline="0">
              <a:solidFill>
                <a:srgbClr val="000000"/>
              </a:solidFill>
              <a:latin typeface="Courier New"/>
              <a:cs typeface="Courier New"/>
            </a:rPr>
            <a:t>   1            -0.7927      0.4526 </a:t>
          </a:r>
        </a:p>
        <a:p>
          <a:pPr algn="l" rtl="0">
            <a:defRPr sz="1000"/>
          </a:pPr>
          <a:r>
            <a:rPr lang="en-US" sz="800" b="0" i="0" u="none" strike="noStrike" baseline="0">
              <a:solidFill>
                <a:srgbClr val="000000"/>
              </a:solidFill>
              <a:latin typeface="Courier New"/>
              <a:cs typeface="Courier New"/>
            </a:rPr>
            <a:t>   2             0.8419      2.3207 </a:t>
          </a:r>
        </a:p>
        <a:p>
          <a:pPr algn="l" rtl="0">
            <a:defRPr sz="1000"/>
          </a:pPr>
          <a:r>
            <a:rPr lang="en-US" sz="800" b="0" i="0" u="none" strike="noStrike" baseline="0">
              <a:solidFill>
                <a:srgbClr val="000000"/>
              </a:solidFill>
              <a:latin typeface="Courier New"/>
              <a:cs typeface="Courier New"/>
            </a:rPr>
            <a:t>   3             0.4582      1.5812 </a:t>
          </a:r>
        </a:p>
        <a:p>
          <a:pPr algn="l" rtl="0">
            <a:defRPr sz="1000"/>
          </a:pPr>
          <a:r>
            <a:rPr lang="en-US" sz="800" b="0" i="0" u="none" strike="noStrike" baseline="0">
              <a:solidFill>
                <a:srgbClr val="000000"/>
              </a:solidFill>
              <a:latin typeface="Courier New"/>
              <a:cs typeface="Courier New"/>
            </a:rPr>
            <a:t>   4            -0.5073      0.6021 </a:t>
          </a:r>
        </a:p>
        <a:p>
          <a:pPr algn="l" rtl="0">
            <a:defRPr sz="1000"/>
          </a:pPr>
          <a:r>
            <a:rPr lang="en-US" sz="800" b="0" i="0" u="none" strike="noStrike" baseline="0">
              <a:solidFill>
                <a:srgbClr val="000000"/>
              </a:solidFill>
              <a:latin typeface="Courier New"/>
              <a:cs typeface="Courier New"/>
            </a:rPr>
            <a:t>  W </a:t>
          </a:r>
        </a:p>
        <a:p>
          <a:pPr algn="l" rtl="0">
            <a:defRPr sz="1000"/>
          </a:pPr>
          <a:r>
            <a:rPr lang="en-US" sz="800" b="0" i="0" u="none" strike="noStrike" baseline="0">
              <a:solidFill>
                <a:srgbClr val="000000"/>
              </a:solidFill>
              <a:latin typeface="Courier New"/>
              <a:cs typeface="Courier New"/>
            </a:rPr>
            <a:t>   1            -0.8381      0.4326 </a:t>
          </a:r>
        </a:p>
        <a:p>
          <a:pPr algn="l" rtl="0">
            <a:defRPr sz="1000"/>
          </a:pPr>
          <a:r>
            <a:rPr lang="en-US" sz="800" b="0" i="0" u="none" strike="noStrike" baseline="0">
              <a:solidFill>
                <a:srgbClr val="000000"/>
              </a:solidFill>
              <a:latin typeface="Courier New"/>
              <a:cs typeface="Courier New"/>
            </a:rPr>
            <a:t>   2             1.0328      2.8088 </a:t>
          </a:r>
        </a:p>
        <a:p>
          <a:pPr algn="l" rtl="0">
            <a:defRPr sz="1000"/>
          </a:pPr>
          <a:r>
            <a:rPr lang="en-US" sz="800" b="0" i="0" u="none" strike="noStrike" baseline="0">
              <a:solidFill>
                <a:srgbClr val="000000"/>
              </a:solidFill>
              <a:latin typeface="Courier New"/>
              <a:cs typeface="Courier New"/>
            </a:rPr>
            <a:t>   3             0.5805      1.7870 </a:t>
          </a:r>
        </a:p>
        <a:p>
          <a:pPr algn="l" rtl="0">
            <a:defRPr sz="1000"/>
          </a:pPr>
          <a:r>
            <a:rPr lang="en-US" sz="800" b="0" i="0" u="none" strike="noStrike" baseline="0">
              <a:solidFill>
                <a:srgbClr val="000000"/>
              </a:solidFill>
              <a:latin typeface="Courier New"/>
              <a:cs typeface="Courier New"/>
            </a:rPr>
            <a:t>   4            -0.7752      0.4606 </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type 2 association (row=H column=W)</a:t>
          </a:r>
        </a:p>
        <a:p>
          <a:pPr algn="l" rtl="0">
            <a:defRPr sz="1000"/>
          </a:pPr>
          <a:r>
            <a:rPr lang="en-US" sz="800" b="0" i="0" u="none" strike="noStrike" baseline="0">
              <a:solidFill>
                <a:srgbClr val="000000"/>
              </a:solidFill>
              <a:latin typeface="Courier New"/>
              <a:cs typeface="Courier New"/>
            </a:rPr>
            <a:t>  association    5.1277</a:t>
          </a:r>
        </a:p>
        <a:p>
          <a:pPr algn="l" rtl="0">
            <a:defRPr sz="1000"/>
          </a:pPr>
          <a:r>
            <a:rPr lang="en-US" sz="800" b="0" i="0" u="none" strike="noStrike" baseline="0">
              <a:solidFill>
                <a:srgbClr val="000000"/>
              </a:solidFill>
              <a:latin typeface="Courier New"/>
              <a:cs typeface="Courier New"/>
            </a:rPr>
            <a:t>  row           -0.6590  -0.2212   0.1859   0.6944</a:t>
          </a:r>
        </a:p>
        <a:p>
          <a:pPr algn="l" rtl="0">
            <a:defRPr sz="1000"/>
          </a:pPr>
          <a:r>
            <a:rPr lang="en-US" sz="800" b="0" i="0" u="none" strike="noStrike" baseline="0">
              <a:solidFill>
                <a:srgbClr val="000000"/>
              </a:solidFill>
              <a:latin typeface="Courier New"/>
              <a:cs typeface="Courier New"/>
            </a:rPr>
            <a:t>  adj row       -1.4923  -0.5010   0.4209   1.5724</a:t>
          </a:r>
        </a:p>
        <a:p>
          <a:pPr algn="l" rtl="0">
            <a:defRPr sz="1000"/>
          </a:pPr>
          <a:r>
            <a:rPr lang="en-US" sz="800" b="0" i="0" u="none" strike="noStrike" baseline="0">
              <a:solidFill>
                <a:srgbClr val="000000"/>
              </a:solidFill>
              <a:latin typeface="Courier New"/>
              <a:cs typeface="Courier New"/>
            </a:rPr>
            <a:t>  column        -0.6731  -0.2000   0.1856   0.6874</a:t>
          </a:r>
        </a:p>
        <a:p>
          <a:pPr algn="l" rtl="0">
            <a:defRPr sz="1000"/>
          </a:pPr>
          <a:r>
            <a:rPr lang="en-US" sz="800" b="0" i="0" u="none" strike="noStrike" baseline="0">
              <a:solidFill>
                <a:srgbClr val="000000"/>
              </a:solidFill>
              <a:latin typeface="Courier New"/>
              <a:cs typeface="Courier New"/>
            </a:rPr>
            <a:t>  adj column    -1.5241  -0.4528   0.4204   1.5566</a:t>
          </a:r>
        </a:p>
        <a:p>
          <a:pPr algn="l" rtl="0">
            <a:defRPr sz="1000"/>
          </a:pPr>
          <a:endParaRPr lang="en-US" sz="800" b="0" i="0" u="none" strike="noStrike" baseline="0">
            <a:solidFill>
              <a:srgbClr val="000000"/>
            </a:solidFill>
            <a:latin typeface="Courier New"/>
            <a:cs typeface="Courier New"/>
          </a:endParaRPr>
        </a:p>
        <a:p>
          <a:pPr algn="l" rtl="0">
            <a:defRPr sz="1000"/>
          </a:pPr>
          <a:endParaRPr lang="en-US" sz="800" b="0" i="0" u="none" strike="noStrike" baseline="0">
            <a:solidFill>
              <a:srgbClr val="000000"/>
            </a:solidFill>
            <a:latin typeface="Courier New"/>
            <a:cs typeface="Courier New"/>
          </a:endParaRP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(CONDITIONAL) PROBABILITIES ***</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P(HW) *</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1 1            0.0560</a:t>
          </a:r>
        </a:p>
        <a:p>
          <a:pPr algn="l" rtl="0">
            <a:defRPr sz="1000"/>
          </a:pPr>
          <a:r>
            <a:rPr lang="en-US" sz="800" b="0" i="0" u="none" strike="noStrike" baseline="0">
              <a:solidFill>
                <a:srgbClr val="000000"/>
              </a:solidFill>
              <a:latin typeface="Courier New"/>
              <a:cs typeface="Courier New"/>
            </a:rPr>
            <a:t>  1 2            0.0735</a:t>
          </a:r>
        </a:p>
        <a:p>
          <a:pPr algn="l" rtl="0">
            <a:defRPr sz="1000"/>
          </a:pPr>
          <a:r>
            <a:rPr lang="en-US" sz="800" b="0" i="0" u="none" strike="noStrike" baseline="0">
              <a:solidFill>
                <a:srgbClr val="000000"/>
              </a:solidFill>
              <a:latin typeface="Courier New"/>
              <a:cs typeface="Courier New"/>
            </a:rPr>
            <a:t>  1 3            0.0127</a:t>
          </a:r>
        </a:p>
        <a:p>
          <a:pPr algn="l" rtl="0">
            <a:defRPr sz="1000"/>
          </a:pPr>
          <a:r>
            <a:rPr lang="en-US" sz="800" b="0" i="0" u="none" strike="noStrike" baseline="0">
              <a:solidFill>
                <a:srgbClr val="000000"/>
              </a:solidFill>
              <a:latin typeface="Courier New"/>
              <a:cs typeface="Courier New"/>
            </a:rPr>
            <a:t>  1 4            0.0006</a:t>
          </a:r>
        </a:p>
        <a:p>
          <a:pPr algn="l" rtl="0">
            <a:defRPr sz="1000"/>
          </a:pPr>
          <a:r>
            <a:rPr lang="en-US" sz="800" b="0" i="0" u="none" strike="noStrike" baseline="0">
              <a:solidFill>
                <a:srgbClr val="000000"/>
              </a:solidFill>
              <a:latin typeface="Courier New"/>
              <a:cs typeface="Courier New"/>
            </a:rPr>
            <a:t>  2 1            0.0634</a:t>
          </a:r>
        </a:p>
        <a:p>
          <a:pPr algn="l" rtl="0">
            <a:defRPr sz="1000"/>
          </a:pPr>
          <a:r>
            <a:rPr lang="en-US" sz="800" b="0" i="0" u="none" strike="noStrike" baseline="0">
              <a:solidFill>
                <a:srgbClr val="000000"/>
              </a:solidFill>
              <a:latin typeface="Courier New"/>
              <a:cs typeface="Courier New"/>
            </a:rPr>
            <a:t>  2 2            0.2406</a:t>
          </a:r>
        </a:p>
        <a:p>
          <a:pPr algn="l" rtl="0">
            <a:defRPr sz="1000"/>
          </a:pPr>
          <a:r>
            <a:rPr lang="en-US" sz="800" b="0" i="0" u="none" strike="noStrike" baseline="0">
              <a:solidFill>
                <a:srgbClr val="000000"/>
              </a:solidFill>
              <a:latin typeface="Courier New"/>
              <a:cs typeface="Courier New"/>
            </a:rPr>
            <a:t>  2 3            0.0989</a:t>
          </a:r>
        </a:p>
        <a:p>
          <a:pPr algn="l" rtl="0">
            <a:defRPr sz="1000"/>
          </a:pPr>
          <a:r>
            <a:rPr lang="en-US" sz="800" b="0" i="0" u="none" strike="noStrike" baseline="0">
              <a:solidFill>
                <a:srgbClr val="000000"/>
              </a:solidFill>
              <a:latin typeface="Courier New"/>
              <a:cs typeface="Courier New"/>
            </a:rPr>
            <a:t>  2 4            0.0144</a:t>
          </a:r>
        </a:p>
        <a:p>
          <a:pPr algn="l" rtl="0">
            <a:defRPr sz="1000"/>
          </a:pPr>
          <a:r>
            <a:rPr lang="en-US" sz="800" b="0" i="0" u="none" strike="noStrike" baseline="0">
              <a:solidFill>
                <a:srgbClr val="000000"/>
              </a:solidFill>
              <a:latin typeface="Courier New"/>
              <a:cs typeface="Courier New"/>
            </a:rPr>
            <a:t>  3 1            0.0106</a:t>
          </a:r>
        </a:p>
        <a:p>
          <a:pPr algn="l" rtl="0">
            <a:defRPr sz="1000"/>
          </a:pPr>
          <a:r>
            <a:rPr lang="en-US" sz="800" b="0" i="0" u="none" strike="noStrike" baseline="0">
              <a:solidFill>
                <a:srgbClr val="000000"/>
              </a:solidFill>
              <a:latin typeface="Courier New"/>
              <a:cs typeface="Courier New"/>
            </a:rPr>
            <a:t>  3 2            0.1080</a:t>
          </a:r>
        </a:p>
        <a:p>
          <a:pPr algn="l" rtl="0">
            <a:defRPr sz="1000"/>
          </a:pPr>
          <a:r>
            <a:rPr lang="en-US" sz="800" b="0" i="0" u="none" strike="noStrike" baseline="0">
              <a:solidFill>
                <a:srgbClr val="000000"/>
              </a:solidFill>
              <a:latin typeface="Courier New"/>
              <a:cs typeface="Courier New"/>
            </a:rPr>
            <a:t>  3 3            0.0992</a:t>
          </a:r>
        </a:p>
        <a:p>
          <a:pPr algn="l" rtl="0">
            <a:defRPr sz="1000"/>
          </a:pPr>
          <a:r>
            <a:rPr lang="en-US" sz="800" b="0" i="0" u="none" strike="noStrike" baseline="0">
              <a:solidFill>
                <a:srgbClr val="000000"/>
              </a:solidFill>
              <a:latin typeface="Courier New"/>
              <a:cs typeface="Courier New"/>
            </a:rPr>
            <a:t>  3 4            0.0413</a:t>
          </a:r>
        </a:p>
        <a:p>
          <a:pPr algn="l" rtl="0">
            <a:defRPr sz="1000"/>
          </a:pPr>
          <a:r>
            <a:rPr lang="en-US" sz="800" b="0" i="0" u="none" strike="noStrike" baseline="0">
              <a:solidFill>
                <a:srgbClr val="000000"/>
              </a:solidFill>
              <a:latin typeface="Courier New"/>
              <a:cs typeface="Courier New"/>
            </a:rPr>
            <a:t>  4 1            0.0007</a:t>
          </a:r>
        </a:p>
        <a:p>
          <a:pPr algn="l" rtl="0">
            <a:defRPr sz="1000"/>
          </a:pPr>
          <a:r>
            <a:rPr lang="en-US" sz="800" b="0" i="0" u="none" strike="noStrike" baseline="0">
              <a:solidFill>
                <a:srgbClr val="000000"/>
              </a:solidFill>
              <a:latin typeface="Courier New"/>
              <a:cs typeface="Courier New"/>
            </a:rPr>
            <a:t>  4 2            0.0244</a:t>
          </a:r>
        </a:p>
        <a:p>
          <a:pPr algn="l" rtl="0">
            <a:defRPr sz="1000"/>
          </a:pPr>
          <a:r>
            <a:rPr lang="en-US" sz="800" b="0" i="0" u="none" strike="noStrike" baseline="0">
              <a:solidFill>
                <a:srgbClr val="000000"/>
              </a:solidFill>
              <a:latin typeface="Courier New"/>
              <a:cs typeface="Courier New"/>
            </a:rPr>
            <a:t>  4 3            0.0613</a:t>
          </a:r>
        </a:p>
        <a:p>
          <a:pPr algn="l" rtl="0">
            <a:defRPr sz="1000"/>
          </a:pPr>
          <a:r>
            <a:rPr lang="en-US" sz="800" b="0" i="0" u="none" strike="noStrike" baseline="0">
              <a:solidFill>
                <a:srgbClr val="000000"/>
              </a:solidFill>
              <a:latin typeface="Courier New"/>
              <a:cs typeface="Courier New"/>
            </a:rPr>
            <a:t>  4 4            0.0943</a:t>
          </a:r>
        </a:p>
        <a:p>
          <a:pPr algn="l" rtl="0">
            <a:defRPr sz="1000"/>
          </a:pPr>
          <a:endParaRPr lang="en-US" sz="800" b="0" i="0" u="none" strike="noStrike" baseline="0">
            <a:solidFill>
              <a:srgbClr val="000000"/>
            </a:solidFill>
            <a:latin typeface="Courier New"/>
            <a:cs typeface="Courier New"/>
          </a:endParaRPr>
        </a:p>
        <a:p>
          <a:pPr algn="l" rtl="0">
            <a:defRPr sz="1000"/>
          </a:pPr>
          <a:endParaRPr lang="en-US" sz="800" b="0" i="0" u="none" strike="noStrike" baseline="0">
            <a:solidFill>
              <a:srgbClr val="000000"/>
            </a:solidFill>
            <a:latin typeface="Courier New"/>
            <a:cs typeface="Courier New"/>
          </a:endParaRPr>
        </a:p>
      </xdr:txBody>
    </xdr:sp>
    <xdr:clientData/>
  </xdr:twoCellAnchor>
  <xdr:twoCellAnchor>
    <xdr:from>
      <xdr:col>11</xdr:col>
      <xdr:colOff>228600</xdr:colOff>
      <xdr:row>5</xdr:row>
      <xdr:rowOff>123825</xdr:rowOff>
    </xdr:from>
    <xdr:to>
      <xdr:col>14</xdr:col>
      <xdr:colOff>19050</xdr:colOff>
      <xdr:row>15</xdr:row>
      <xdr:rowOff>76200</xdr:rowOff>
    </xdr:to>
    <xdr:sp macro="" textlink="">
      <xdr:nvSpPr>
        <xdr:cNvPr id="16386" name="Text Box 2"/>
        <xdr:cNvSpPr txBox="1">
          <a:spLocks noChangeArrowheads="1"/>
        </xdr:cNvSpPr>
      </xdr:nvSpPr>
      <xdr:spPr bwMode="auto">
        <a:xfrm>
          <a:off x="6934200" y="885825"/>
          <a:ext cx="1619250" cy="147637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Geneva"/>
            </a:rPr>
            <a:t>Just checking that the summary statistics reported by LEM correspond to pearson and LRT chisquare for goodness of fit; they do. Also checking that ID is calculated correctly; it is, but LEM scales it to 0-1 and we use a 0-100 scale.</a:t>
          </a:r>
        </a:p>
      </xdr:txBody>
    </xdr:sp>
    <xdr:clientData/>
  </xdr:twoCellAnchor>
  <xdr:twoCellAnchor>
    <xdr:from>
      <xdr:col>11</xdr:col>
      <xdr:colOff>104775</xdr:colOff>
      <xdr:row>16</xdr:row>
      <xdr:rowOff>0</xdr:rowOff>
    </xdr:from>
    <xdr:to>
      <xdr:col>15</xdr:col>
      <xdr:colOff>447675</xdr:colOff>
      <xdr:row>26</xdr:row>
      <xdr:rowOff>76200</xdr:rowOff>
    </xdr:to>
    <xdr:sp macro="" textlink="">
      <xdr:nvSpPr>
        <xdr:cNvPr id="16387" name="Text Box 3"/>
        <xdr:cNvSpPr txBox="1">
          <a:spLocks noChangeArrowheads="1"/>
        </xdr:cNvSpPr>
      </xdr:nvSpPr>
      <xdr:spPr bwMode="auto">
        <a:xfrm>
          <a:off x="6810375" y="2438400"/>
          <a:ext cx="2781300" cy="16002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Geneva"/>
            </a:rPr>
            <a:t>My reading of the RC output of scaled row and column parameters is that the row categories and the column categories are estimated here to be reasonably equidistant. This squares with my analysis of the linear by linear association models, wherein the model with equidistant categories (1,2,3,4) seemed to fit better than the model with the categories of different distances (based on the years of education in each category...)</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9</xdr:col>
      <xdr:colOff>352425</xdr:colOff>
      <xdr:row>5</xdr:row>
      <xdr:rowOff>123825</xdr:rowOff>
    </xdr:from>
    <xdr:to>
      <xdr:col>18</xdr:col>
      <xdr:colOff>514350</xdr:colOff>
      <xdr:row>63</xdr:row>
      <xdr:rowOff>28575</xdr:rowOff>
    </xdr:to>
    <xdr:sp macro="" textlink="">
      <xdr:nvSpPr>
        <xdr:cNvPr id="11265" name="Text Box 1"/>
        <xdr:cNvSpPr txBox="1">
          <a:spLocks noChangeArrowheads="1"/>
        </xdr:cNvSpPr>
      </xdr:nvSpPr>
      <xdr:spPr bwMode="auto">
        <a:xfrm>
          <a:off x="5838825" y="885825"/>
          <a:ext cx="5648325" cy="874395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Courier New"/>
              <a:cs typeface="Courier New"/>
            </a:rPr>
            <a:t>The first table highlights the comparison categories from HW2 model 5. Since the endogamy diagonal is spoken for, the comparison categories for black-white interaction coefficient are the other kinds of intermarriage, other than black white and other than Mexican- other Hispanic. Black-white intermarriage is less likely and Mexican- other Hispanic intermarriage are more likely than the other kinds of racial intermarriage, taken as a group.</a:t>
          </a:r>
        </a:p>
        <a:p>
          <a:pPr algn="l" rtl="0">
            <a:defRPr sz="1000"/>
          </a:pPr>
          <a:endParaRPr lang="en-US" sz="900" b="0" i="0" u="none" strike="noStrike" baseline="0">
            <a:solidFill>
              <a:srgbClr val="000000"/>
            </a:solidFill>
            <a:latin typeface="Courier New"/>
            <a:cs typeface="Courier New"/>
          </a:endParaRP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desmat: poisson count  husb wife endog BW MOh</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Poisson regression</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Dependent variable                                                    count</a:t>
          </a:r>
        </a:p>
        <a:p>
          <a:pPr algn="l" rtl="0">
            <a:defRPr sz="1000"/>
          </a:pPr>
          <a:r>
            <a:rPr lang="en-US" sz="900" b="0" i="0" u="none" strike="noStrike" baseline="0">
              <a:solidFill>
                <a:srgbClr val="000000"/>
              </a:solidFill>
              <a:latin typeface="Courier New"/>
              <a:cs typeface="Courier New"/>
            </a:rPr>
            <a:t>   Optimization:                                                            ml</a:t>
          </a:r>
        </a:p>
        <a:p>
          <a:pPr algn="l" rtl="0">
            <a:defRPr sz="1000"/>
          </a:pPr>
          <a:r>
            <a:rPr lang="en-US" sz="900" b="0" i="0" u="none" strike="noStrike" baseline="0">
              <a:solidFill>
                <a:srgbClr val="000000"/>
              </a:solidFill>
              <a:latin typeface="Courier New"/>
              <a:cs typeface="Courier New"/>
            </a:rPr>
            <a:t>   Number of observations:                                                  25</a:t>
          </a:r>
        </a:p>
        <a:p>
          <a:pPr algn="l" rtl="0">
            <a:defRPr sz="1000"/>
          </a:pPr>
          <a:r>
            <a:rPr lang="en-US" sz="900" b="0" i="0" u="none" strike="noStrike" baseline="0">
              <a:solidFill>
                <a:srgbClr val="000000"/>
              </a:solidFill>
              <a:latin typeface="Courier New"/>
              <a:cs typeface="Courier New"/>
            </a:rPr>
            <a:t>   Initial log likelihood:                                          -80138.505</a:t>
          </a:r>
        </a:p>
        <a:p>
          <a:pPr algn="l" rtl="0">
            <a:defRPr sz="1000"/>
          </a:pPr>
          <a:r>
            <a:rPr lang="en-US" sz="900" b="0" i="0" u="none" strike="noStrike" baseline="0">
              <a:solidFill>
                <a:srgbClr val="000000"/>
              </a:solidFill>
              <a:latin typeface="Courier New"/>
              <a:cs typeface="Courier New"/>
            </a:rPr>
            <a:t>   Log likelihood:                                                     -99.227</a:t>
          </a:r>
        </a:p>
        <a:p>
          <a:pPr algn="l" rtl="0">
            <a:defRPr sz="1000"/>
          </a:pPr>
          <a:r>
            <a:rPr lang="en-US" sz="900" b="0" i="0" u="none" strike="noStrike" baseline="0">
              <a:solidFill>
                <a:srgbClr val="000000"/>
              </a:solidFill>
              <a:latin typeface="Courier New"/>
              <a:cs typeface="Courier New"/>
            </a:rPr>
            <a:t>   LR chi square:                                                   160078.556</a:t>
          </a:r>
        </a:p>
        <a:p>
          <a:pPr algn="l" rtl="0">
            <a:defRPr sz="1000"/>
          </a:pPr>
          <a:r>
            <a:rPr lang="en-US" sz="900" b="0" i="0" u="none" strike="noStrike" baseline="0">
              <a:solidFill>
                <a:srgbClr val="000000"/>
              </a:solidFill>
              <a:latin typeface="Courier New"/>
              <a:cs typeface="Courier New"/>
            </a:rPr>
            <a:t>   Model degrees of freedom:                                                15</a:t>
          </a:r>
        </a:p>
        <a:p>
          <a:pPr algn="l" rtl="0">
            <a:defRPr sz="1000"/>
          </a:pPr>
          <a:r>
            <a:rPr lang="en-US" sz="900" b="0" i="0" u="none" strike="noStrike" baseline="0">
              <a:solidFill>
                <a:srgbClr val="000000"/>
              </a:solidFill>
              <a:latin typeface="Courier New"/>
              <a:cs typeface="Courier New"/>
            </a:rPr>
            <a:t>   Pseudo R-squared:                                                     0.999</a:t>
          </a:r>
        </a:p>
        <a:p>
          <a:pPr algn="l" rtl="0">
            <a:defRPr sz="1000"/>
          </a:pPr>
          <a:r>
            <a:rPr lang="en-US" sz="900" b="0" i="0" u="none" strike="noStrike" baseline="0">
              <a:solidFill>
                <a:srgbClr val="000000"/>
              </a:solidFill>
              <a:latin typeface="Courier New"/>
              <a:cs typeface="Courier New"/>
            </a:rPr>
            <a:t>   Prob:                                                                 0.000</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nr Effect                                                    Coeff        s.e.</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count</a:t>
          </a:r>
        </a:p>
        <a:p>
          <a:pPr algn="l" rtl="0">
            <a:defRPr sz="1000"/>
          </a:pPr>
          <a:r>
            <a:rPr lang="en-US" sz="900" b="0" i="0" u="none" strike="noStrike" baseline="0">
              <a:solidFill>
                <a:srgbClr val="000000"/>
              </a:solidFill>
              <a:latin typeface="Courier New"/>
              <a:cs typeface="Courier New"/>
            </a:rPr>
            <a:t>     husb</a:t>
          </a:r>
        </a:p>
        <a:p>
          <a:pPr algn="l" rtl="0">
            <a:defRPr sz="1000"/>
          </a:pPr>
          <a:r>
            <a:rPr lang="en-US" sz="900" b="0" i="0" u="none" strike="noStrike" baseline="0">
              <a:solidFill>
                <a:srgbClr val="000000"/>
              </a:solidFill>
              <a:latin typeface="Courier New"/>
              <a:cs typeface="Courier New"/>
            </a:rPr>
            <a:t>1      Mexican                                               0.923**     0.108</a:t>
          </a:r>
        </a:p>
        <a:p>
          <a:pPr algn="l" rtl="0">
            <a:defRPr sz="1000"/>
          </a:pPr>
          <a:r>
            <a:rPr lang="en-US" sz="900" b="0" i="0" u="none" strike="noStrike" baseline="0">
              <a:solidFill>
                <a:srgbClr val="000000"/>
              </a:solidFill>
              <a:latin typeface="Courier New"/>
              <a:cs typeface="Courier New"/>
            </a:rPr>
            <a:t>2      Oth Hisp                                             -0.282*      0.116</a:t>
          </a:r>
        </a:p>
        <a:p>
          <a:pPr algn="l" rtl="0">
            <a:defRPr sz="1000"/>
          </a:pPr>
          <a:r>
            <a:rPr lang="en-US" sz="900" b="0" i="0" u="none" strike="noStrike" baseline="0">
              <a:solidFill>
                <a:srgbClr val="000000"/>
              </a:solidFill>
              <a:latin typeface="Courier New"/>
              <a:cs typeface="Courier New"/>
            </a:rPr>
            <a:t>3      All Others                                           -0.089       0.108</a:t>
          </a:r>
        </a:p>
        <a:p>
          <a:pPr algn="l" rtl="0">
            <a:defRPr sz="1000"/>
          </a:pPr>
          <a:r>
            <a:rPr lang="en-US" sz="900" b="0" i="0" u="none" strike="noStrike" baseline="0">
              <a:solidFill>
                <a:srgbClr val="000000"/>
              </a:solidFill>
              <a:latin typeface="Courier New"/>
              <a:cs typeface="Courier New"/>
            </a:rPr>
            <a:t>4      White                                                 2.672**     0.079</a:t>
          </a:r>
        </a:p>
        <a:p>
          <a:pPr algn="l" rtl="0">
            <a:defRPr sz="1000"/>
          </a:pPr>
          <a:r>
            <a:rPr lang="en-US" sz="900" b="0" i="0" u="none" strike="noStrike" baseline="0">
              <a:solidFill>
                <a:srgbClr val="000000"/>
              </a:solidFill>
              <a:latin typeface="Courier New"/>
              <a:cs typeface="Courier New"/>
            </a:rPr>
            <a:t>     wife</a:t>
          </a:r>
        </a:p>
        <a:p>
          <a:pPr algn="l" rtl="0">
            <a:defRPr sz="1000"/>
          </a:pPr>
          <a:r>
            <a:rPr lang="en-US" sz="900" b="0" i="0" u="none" strike="noStrike" baseline="0">
              <a:solidFill>
                <a:srgbClr val="000000"/>
              </a:solidFill>
              <a:latin typeface="Courier New"/>
              <a:cs typeface="Courier New"/>
            </a:rPr>
            <a:t>5      Mexican                                               1.752**     0.125</a:t>
          </a:r>
        </a:p>
        <a:p>
          <a:pPr algn="l" rtl="0">
            <a:defRPr sz="1000"/>
          </a:pPr>
          <a:r>
            <a:rPr lang="en-US" sz="900" b="0" i="0" u="none" strike="noStrike" baseline="0">
              <a:solidFill>
                <a:srgbClr val="000000"/>
              </a:solidFill>
              <a:latin typeface="Courier New"/>
              <a:cs typeface="Courier New"/>
            </a:rPr>
            <a:t>6      Oth Hisp                                              0.630**     0.130</a:t>
          </a:r>
        </a:p>
        <a:p>
          <a:pPr algn="l" rtl="0">
            <a:defRPr sz="1000"/>
          </a:pPr>
          <a:r>
            <a:rPr lang="en-US" sz="900" b="0" i="0" u="none" strike="noStrike" baseline="0">
              <a:solidFill>
                <a:srgbClr val="000000"/>
              </a:solidFill>
              <a:latin typeface="Courier New"/>
              <a:cs typeface="Courier New"/>
            </a:rPr>
            <a:t>7      All Others                                            0.922**     0.123</a:t>
          </a:r>
        </a:p>
        <a:p>
          <a:pPr algn="l" rtl="0">
            <a:defRPr sz="1000"/>
          </a:pPr>
          <a:r>
            <a:rPr lang="en-US" sz="900" b="0" i="0" u="none" strike="noStrike" baseline="0">
              <a:solidFill>
                <a:srgbClr val="000000"/>
              </a:solidFill>
              <a:latin typeface="Courier New"/>
              <a:cs typeface="Courier New"/>
            </a:rPr>
            <a:t>8      White                                                 3.372**     0.099</a:t>
          </a:r>
        </a:p>
        <a:p>
          <a:pPr algn="l" rtl="0">
            <a:defRPr sz="1000"/>
          </a:pPr>
          <a:r>
            <a:rPr lang="en-US" sz="900" b="0" i="0" u="none" strike="noStrike" baseline="0">
              <a:solidFill>
                <a:srgbClr val="000000"/>
              </a:solidFill>
              <a:latin typeface="Courier New"/>
              <a:cs typeface="Courier New"/>
            </a:rPr>
            <a:t>     endog</a:t>
          </a:r>
        </a:p>
        <a:p>
          <a:pPr algn="l" rtl="0">
            <a:defRPr sz="1000"/>
          </a:pPr>
          <a:r>
            <a:rPr lang="en-US" sz="900" b="0" i="0" u="none" strike="noStrike" baseline="0">
              <a:solidFill>
                <a:srgbClr val="000000"/>
              </a:solidFill>
              <a:latin typeface="Courier New"/>
              <a:cs typeface="Courier New"/>
            </a:rPr>
            <a:t>9      1                                                     5.692**     0.165</a:t>
          </a:r>
        </a:p>
        <a:p>
          <a:pPr algn="l" rtl="0">
            <a:defRPr sz="1000"/>
          </a:pPr>
          <a:r>
            <a:rPr lang="en-US" sz="900" b="0" i="0" u="none" strike="noStrike" baseline="0">
              <a:solidFill>
                <a:srgbClr val="000000"/>
              </a:solidFill>
              <a:latin typeface="Courier New"/>
              <a:cs typeface="Courier New"/>
            </a:rPr>
            <a:t>10     2                                                     2.986**     0.083</a:t>
          </a:r>
        </a:p>
        <a:p>
          <a:pPr algn="l" rtl="0">
            <a:defRPr sz="1000"/>
          </a:pPr>
          <a:r>
            <a:rPr lang="en-US" sz="900" b="0" i="0" u="none" strike="noStrike" baseline="0">
              <a:solidFill>
                <a:srgbClr val="000000"/>
              </a:solidFill>
              <a:latin typeface="Courier New"/>
              <a:cs typeface="Courier New"/>
            </a:rPr>
            <a:t>11     3                                                     2.508**     0.120</a:t>
          </a:r>
        </a:p>
        <a:p>
          <a:pPr algn="l" rtl="0">
            <a:defRPr sz="1000"/>
          </a:pPr>
          <a:r>
            <a:rPr lang="en-US" sz="900" b="0" i="0" u="none" strike="noStrike" baseline="0">
              <a:solidFill>
                <a:srgbClr val="000000"/>
              </a:solidFill>
              <a:latin typeface="Courier New"/>
              <a:cs typeface="Courier New"/>
            </a:rPr>
            <a:t>12     4                                                     3.476**     0.085</a:t>
          </a:r>
        </a:p>
        <a:p>
          <a:pPr algn="l" rtl="0">
            <a:defRPr sz="1000"/>
          </a:pPr>
          <a:r>
            <a:rPr lang="en-US" sz="900" b="0" i="0" u="none" strike="noStrike" baseline="0">
              <a:solidFill>
                <a:srgbClr val="000000"/>
              </a:solidFill>
              <a:latin typeface="Courier New"/>
              <a:cs typeface="Courier New"/>
            </a:rPr>
            <a:t>13     5                                                     1.592**     0.080</a:t>
          </a:r>
        </a:p>
        <a:p>
          <a:pPr algn="l" rtl="0">
            <a:defRPr sz="1000"/>
          </a:pPr>
          <a:r>
            <a:rPr lang="en-US" sz="900" b="0" i="0" u="none" strike="noStrike" baseline="0">
              <a:solidFill>
                <a:srgbClr val="000000"/>
              </a:solidFill>
              <a:latin typeface="Courier New"/>
              <a:cs typeface="Courier New"/>
            </a:rPr>
            <a:t>  </a:t>
          </a:r>
          <a:r>
            <a:rPr lang="en-US" sz="900" b="1" i="0" u="none" strike="noStrike" baseline="0">
              <a:solidFill>
                <a:srgbClr val="000000"/>
              </a:solidFill>
              <a:latin typeface="Courier New"/>
              <a:cs typeface="Courier New"/>
            </a:rPr>
            <a:t>   BW</a:t>
          </a:r>
        </a:p>
        <a:p>
          <a:pPr algn="l" rtl="0">
            <a:defRPr sz="1000"/>
          </a:pPr>
          <a:r>
            <a:rPr lang="en-US" sz="900" b="1" i="0" u="none" strike="noStrike" baseline="0">
              <a:solidFill>
                <a:srgbClr val="000000"/>
              </a:solidFill>
              <a:latin typeface="Courier New"/>
              <a:cs typeface="Courier New"/>
            </a:rPr>
            <a:t>14     1                                                    -0.633**     0.117</a:t>
          </a:r>
        </a:p>
        <a:p>
          <a:pPr algn="l" rtl="0">
            <a:defRPr sz="1000"/>
          </a:pPr>
          <a:r>
            <a:rPr lang="en-US" sz="900" b="1" i="0" u="none" strike="noStrike" baseline="0">
              <a:solidFill>
                <a:srgbClr val="000000"/>
              </a:solidFill>
              <a:latin typeface="Courier New"/>
              <a:cs typeface="Courier New"/>
            </a:rPr>
            <a:t>     MOh</a:t>
          </a:r>
        </a:p>
        <a:p>
          <a:pPr algn="l" rtl="0">
            <a:defRPr sz="1000"/>
          </a:pPr>
          <a:r>
            <a:rPr lang="en-US" sz="900" b="1" i="0" u="none" strike="noStrike" baseline="0">
              <a:solidFill>
                <a:srgbClr val="000000"/>
              </a:solidFill>
              <a:latin typeface="Courier New"/>
              <a:cs typeface="Courier New"/>
            </a:rPr>
            <a:t>15     1                                                     0.791**     0.102</a:t>
          </a: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16   _cons                                                   2.620**     0.165</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p &lt; .05</a:t>
          </a:r>
        </a:p>
        <a:p>
          <a:pPr algn="l" rtl="0">
            <a:defRPr sz="1000"/>
          </a:pPr>
          <a:r>
            <a:rPr lang="en-US" sz="900" b="0" i="0" u="none" strike="noStrike" baseline="0">
              <a:solidFill>
                <a:srgbClr val="000000"/>
              </a:solidFill>
              <a:latin typeface="Courier New"/>
              <a:cs typeface="Courier New"/>
            </a:rPr>
            <a:t>** p &lt; .01</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poisgof</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Goodness-of-fit chi2  =  20.64177</a:t>
          </a:r>
        </a:p>
        <a:p>
          <a:pPr algn="l" rtl="0">
            <a:defRPr sz="1000"/>
          </a:pPr>
          <a:r>
            <a:rPr lang="en-US" sz="900" b="0" i="0" u="none" strike="noStrike" baseline="0">
              <a:solidFill>
                <a:srgbClr val="000000"/>
              </a:solidFill>
              <a:latin typeface="Courier New"/>
              <a:cs typeface="Courier New"/>
            </a:rPr>
            <a:t>         Prob &gt; chi2(9)        =    0.0143</a:t>
          </a:r>
        </a:p>
        <a:p>
          <a:pPr algn="l" rtl="0">
            <a:defRPr sz="1000"/>
          </a:pPr>
          <a:endParaRPr lang="en-US" sz="900" b="0" i="0" u="none" strike="noStrike" baseline="0">
            <a:solidFill>
              <a:srgbClr val="000000"/>
            </a:solidFill>
            <a:latin typeface="Courier New"/>
            <a:cs typeface="Courier New"/>
          </a:endParaRPr>
        </a:p>
      </xdr:txBody>
    </xdr:sp>
    <xdr:clientData/>
  </xdr:twoCellAnchor>
  <xdr:oneCellAnchor>
    <xdr:from>
      <xdr:col>10</xdr:col>
      <xdr:colOff>9525</xdr:colOff>
      <xdr:row>26</xdr:row>
      <xdr:rowOff>28575</xdr:rowOff>
    </xdr:from>
    <xdr:ext cx="76200" cy="190500"/>
    <xdr:sp macro="" textlink="">
      <xdr:nvSpPr>
        <xdr:cNvPr id="11266" name="Text Box 2"/>
        <xdr:cNvSpPr txBox="1">
          <a:spLocks noChangeArrowheads="1"/>
        </xdr:cNvSpPr>
      </xdr:nvSpPr>
      <xdr:spPr bwMode="auto">
        <a:xfrm>
          <a:off x="6105525" y="3990975"/>
          <a:ext cx="76200" cy="1905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twoCellAnchor>
    <xdr:from>
      <xdr:col>0</xdr:col>
      <xdr:colOff>200025</xdr:colOff>
      <xdr:row>27</xdr:row>
      <xdr:rowOff>9525</xdr:rowOff>
    </xdr:from>
    <xdr:to>
      <xdr:col>9</xdr:col>
      <xdr:colOff>266700</xdr:colOff>
      <xdr:row>70</xdr:row>
      <xdr:rowOff>38100</xdr:rowOff>
    </xdr:to>
    <xdr:sp macro="" textlink="">
      <xdr:nvSpPr>
        <xdr:cNvPr id="11267" name="Text Box 3"/>
        <xdr:cNvSpPr txBox="1">
          <a:spLocks noChangeArrowheads="1"/>
        </xdr:cNvSpPr>
      </xdr:nvSpPr>
      <xdr:spPr bwMode="auto">
        <a:xfrm>
          <a:off x="200025" y="4124325"/>
          <a:ext cx="5553075" cy="658177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Courier New"/>
              <a:cs typeface="Courier New"/>
            </a:rPr>
            <a:t>In this second, black-white is the only interaction term so the comparison category is expanded to include everything else, notably the very popular endogamy diagonal. Compared to black endogamy and white endogamy, black- white intermarriage is drastically less likely and that is why the coefficient here is so much more negative.</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desmat: poisson count  husb wife BW</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Poisson regression</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Dependent variable                                                    count</a:t>
          </a:r>
        </a:p>
        <a:p>
          <a:pPr algn="l" rtl="0">
            <a:defRPr sz="1000"/>
          </a:pPr>
          <a:r>
            <a:rPr lang="en-US" sz="900" b="0" i="0" u="none" strike="noStrike" baseline="0">
              <a:solidFill>
                <a:srgbClr val="000000"/>
              </a:solidFill>
              <a:latin typeface="Courier New"/>
              <a:cs typeface="Courier New"/>
            </a:rPr>
            <a:t>   Optimization:                                                            ml</a:t>
          </a:r>
        </a:p>
        <a:p>
          <a:pPr algn="l" rtl="0">
            <a:defRPr sz="1000"/>
          </a:pPr>
          <a:r>
            <a:rPr lang="en-US" sz="900" b="0" i="0" u="none" strike="noStrike" baseline="0">
              <a:solidFill>
                <a:srgbClr val="000000"/>
              </a:solidFill>
              <a:latin typeface="Courier New"/>
              <a:cs typeface="Courier New"/>
            </a:rPr>
            <a:t>   Number of observations:                                                  25</a:t>
          </a:r>
        </a:p>
        <a:p>
          <a:pPr algn="l" rtl="0">
            <a:defRPr sz="1000"/>
          </a:pPr>
          <a:r>
            <a:rPr lang="en-US" sz="900" b="0" i="0" u="none" strike="noStrike" baseline="0">
              <a:solidFill>
                <a:srgbClr val="000000"/>
              </a:solidFill>
              <a:latin typeface="Courier New"/>
              <a:cs typeface="Courier New"/>
            </a:rPr>
            <a:t>   Initial log likelihood:                                          -80138.505</a:t>
          </a:r>
        </a:p>
        <a:p>
          <a:pPr algn="l" rtl="0">
            <a:defRPr sz="1000"/>
          </a:pPr>
          <a:r>
            <a:rPr lang="en-US" sz="900" b="0" i="0" u="none" strike="noStrike" baseline="0">
              <a:solidFill>
                <a:srgbClr val="000000"/>
              </a:solidFill>
              <a:latin typeface="Courier New"/>
              <a:cs typeface="Courier New"/>
            </a:rPr>
            <a:t>   Log likelihood:                                                  -13705.976</a:t>
          </a:r>
        </a:p>
        <a:p>
          <a:pPr algn="l" rtl="0">
            <a:defRPr sz="1000"/>
          </a:pPr>
          <a:r>
            <a:rPr lang="en-US" sz="900" b="0" i="0" u="none" strike="noStrike" baseline="0">
              <a:solidFill>
                <a:srgbClr val="000000"/>
              </a:solidFill>
              <a:latin typeface="Courier New"/>
              <a:cs typeface="Courier New"/>
            </a:rPr>
            <a:t>   LR chi square:                                                   132865.058</a:t>
          </a:r>
        </a:p>
        <a:p>
          <a:pPr algn="l" rtl="0">
            <a:defRPr sz="1000"/>
          </a:pPr>
          <a:r>
            <a:rPr lang="en-US" sz="900" b="0" i="0" u="none" strike="noStrike" baseline="0">
              <a:solidFill>
                <a:srgbClr val="000000"/>
              </a:solidFill>
              <a:latin typeface="Courier New"/>
              <a:cs typeface="Courier New"/>
            </a:rPr>
            <a:t>   Model degrees of freedom:                                                 9</a:t>
          </a:r>
        </a:p>
        <a:p>
          <a:pPr algn="l" rtl="0">
            <a:defRPr sz="1000"/>
          </a:pPr>
          <a:r>
            <a:rPr lang="en-US" sz="900" b="0" i="0" u="none" strike="noStrike" baseline="0">
              <a:solidFill>
                <a:srgbClr val="000000"/>
              </a:solidFill>
              <a:latin typeface="Courier New"/>
              <a:cs typeface="Courier New"/>
            </a:rPr>
            <a:t>   Pseudo R-squared:                                                     0.829</a:t>
          </a:r>
        </a:p>
        <a:p>
          <a:pPr algn="l" rtl="0">
            <a:defRPr sz="1000"/>
          </a:pPr>
          <a:r>
            <a:rPr lang="en-US" sz="900" b="0" i="0" u="none" strike="noStrike" baseline="0">
              <a:solidFill>
                <a:srgbClr val="000000"/>
              </a:solidFill>
              <a:latin typeface="Courier New"/>
              <a:cs typeface="Courier New"/>
            </a:rPr>
            <a:t>   Prob:                                                                 0.000</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nr Effect                                                    Coeff        s.e.</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count</a:t>
          </a:r>
        </a:p>
        <a:p>
          <a:pPr algn="l" rtl="0">
            <a:defRPr sz="1000"/>
          </a:pPr>
          <a:r>
            <a:rPr lang="en-US" sz="900" b="0" i="0" u="none" strike="noStrike" baseline="0">
              <a:solidFill>
                <a:srgbClr val="000000"/>
              </a:solidFill>
              <a:latin typeface="Courier New"/>
              <a:cs typeface="Courier New"/>
            </a:rPr>
            <a:t>     husb</a:t>
          </a:r>
        </a:p>
        <a:p>
          <a:pPr algn="l" rtl="0">
            <a:defRPr sz="1000"/>
          </a:pPr>
          <a:r>
            <a:rPr lang="en-US" sz="900" b="0" i="0" u="none" strike="noStrike" baseline="0">
              <a:solidFill>
                <a:srgbClr val="000000"/>
              </a:solidFill>
              <a:latin typeface="Courier New"/>
              <a:cs typeface="Courier New"/>
            </a:rPr>
            <a:t>1      Mexican                                              -0.879**     0.023</a:t>
          </a:r>
        </a:p>
        <a:p>
          <a:pPr algn="l" rtl="0">
            <a:defRPr sz="1000"/>
          </a:pPr>
          <a:r>
            <a:rPr lang="en-US" sz="900" b="0" i="0" u="none" strike="noStrike" baseline="0">
              <a:solidFill>
                <a:srgbClr val="000000"/>
              </a:solidFill>
              <a:latin typeface="Courier New"/>
              <a:cs typeface="Courier New"/>
            </a:rPr>
            <a:t>2      Oth Hisp                                             -2.875**     0.042</a:t>
          </a:r>
        </a:p>
        <a:p>
          <a:pPr algn="l" rtl="0">
            <a:defRPr sz="1000"/>
          </a:pPr>
          <a:r>
            <a:rPr lang="en-US" sz="900" b="0" i="0" u="none" strike="noStrike" baseline="0">
              <a:solidFill>
                <a:srgbClr val="000000"/>
              </a:solidFill>
              <a:latin typeface="Courier New"/>
              <a:cs typeface="Courier New"/>
            </a:rPr>
            <a:t>3      All Others                                           -2.128**     0.031</a:t>
          </a:r>
        </a:p>
        <a:p>
          <a:pPr algn="l" rtl="0">
            <a:defRPr sz="1000"/>
          </a:pPr>
          <a:r>
            <a:rPr lang="en-US" sz="900" b="0" i="0" u="none" strike="noStrike" baseline="0">
              <a:solidFill>
                <a:srgbClr val="000000"/>
              </a:solidFill>
              <a:latin typeface="Courier New"/>
              <a:cs typeface="Courier New"/>
            </a:rPr>
            <a:t>4      White                                                 1.112**     0.021</a:t>
          </a:r>
        </a:p>
        <a:p>
          <a:pPr algn="l" rtl="0">
            <a:defRPr sz="1000"/>
          </a:pPr>
          <a:r>
            <a:rPr lang="en-US" sz="900" b="0" i="0" u="none" strike="noStrike" baseline="0">
              <a:solidFill>
                <a:srgbClr val="000000"/>
              </a:solidFill>
              <a:latin typeface="Courier New"/>
              <a:cs typeface="Courier New"/>
            </a:rPr>
            <a:t>     wife</a:t>
          </a:r>
        </a:p>
        <a:p>
          <a:pPr algn="l" rtl="0">
            <a:defRPr sz="1000"/>
          </a:pPr>
          <a:r>
            <a:rPr lang="en-US" sz="900" b="0" i="0" u="none" strike="noStrike" baseline="0">
              <a:solidFill>
                <a:srgbClr val="000000"/>
              </a:solidFill>
              <a:latin typeface="Courier New"/>
              <a:cs typeface="Courier New"/>
            </a:rPr>
            <a:t>5      Mexican                                              -0.794**     0.023</a:t>
          </a:r>
        </a:p>
        <a:p>
          <a:pPr algn="l" rtl="0">
            <a:defRPr sz="1000"/>
          </a:pPr>
          <a:r>
            <a:rPr lang="en-US" sz="900" b="0" i="0" u="none" strike="noStrike" baseline="0">
              <a:solidFill>
                <a:srgbClr val="000000"/>
              </a:solidFill>
              <a:latin typeface="Courier New"/>
              <a:cs typeface="Courier New"/>
            </a:rPr>
            <a:t>6      Oth Hisp                                             -2.692**     0.040</a:t>
          </a:r>
        </a:p>
        <a:p>
          <a:pPr algn="l" rtl="0">
            <a:defRPr sz="1000"/>
          </a:pPr>
          <a:r>
            <a:rPr lang="en-US" sz="900" b="0" i="0" u="none" strike="noStrike" baseline="0">
              <a:solidFill>
                <a:srgbClr val="000000"/>
              </a:solidFill>
              <a:latin typeface="Courier New"/>
              <a:cs typeface="Courier New"/>
            </a:rPr>
            <a:t>7      All Others                                           -1.963**     0.030</a:t>
          </a:r>
        </a:p>
        <a:p>
          <a:pPr algn="l" rtl="0">
            <a:defRPr sz="1000"/>
          </a:pPr>
          <a:r>
            <a:rPr lang="en-US" sz="900" b="0" i="0" u="none" strike="noStrike" baseline="0">
              <a:solidFill>
                <a:srgbClr val="000000"/>
              </a:solidFill>
              <a:latin typeface="Courier New"/>
              <a:cs typeface="Courier New"/>
            </a:rPr>
            <a:t>8      White                                                 1.175**     0.021</a:t>
          </a:r>
        </a:p>
        <a:p>
          <a:pPr algn="l" rtl="0">
            <a:defRPr sz="1000"/>
          </a:pPr>
          <a:r>
            <a:rPr lang="en-US" sz="900" b="1" i="0" u="none" strike="noStrike" baseline="0">
              <a:solidFill>
                <a:srgbClr val="000000"/>
              </a:solidFill>
              <a:latin typeface="Courier New"/>
              <a:cs typeface="Courier New"/>
            </a:rPr>
            <a:t>     BW</a:t>
          </a:r>
        </a:p>
        <a:p>
          <a:pPr algn="l" rtl="0">
            <a:defRPr sz="1000"/>
          </a:pPr>
          <a:r>
            <a:rPr lang="en-US" sz="900" b="1" i="0" u="none" strike="noStrike" baseline="0">
              <a:solidFill>
                <a:srgbClr val="000000"/>
              </a:solidFill>
              <a:latin typeface="Courier New"/>
              <a:cs typeface="Courier New"/>
            </a:rPr>
            <a:t>9      1                                                    -3.925**     0.057</a:t>
          </a: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10   _cons                                                   7.850**     0.018</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p &lt; .05</a:t>
          </a:r>
        </a:p>
        <a:p>
          <a:pPr algn="l" rtl="0">
            <a:defRPr sz="1000"/>
          </a:pPr>
          <a:r>
            <a:rPr lang="en-US" sz="900" b="0" i="0" u="none" strike="noStrike" baseline="0">
              <a:solidFill>
                <a:srgbClr val="000000"/>
              </a:solidFill>
              <a:latin typeface="Courier New"/>
              <a:cs typeface="Courier New"/>
            </a:rPr>
            <a:t>** p &lt; .01</a:t>
          </a:r>
        </a:p>
        <a:p>
          <a:pPr algn="l" rtl="0">
            <a:defRPr sz="1000"/>
          </a:pPr>
          <a:endParaRPr lang="en-US" sz="900" b="0" i="0" u="none" strike="noStrike" baseline="0">
            <a:solidFill>
              <a:srgbClr val="000000"/>
            </a:solidFill>
            <a:latin typeface="Courier New"/>
            <a:cs typeface="Courier New"/>
          </a:endParaRP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142875</xdr:colOff>
      <xdr:row>27</xdr:row>
      <xdr:rowOff>57150</xdr:rowOff>
    </xdr:from>
    <xdr:to>
      <xdr:col>7</xdr:col>
      <xdr:colOff>47625</xdr:colOff>
      <xdr:row>134</xdr:row>
      <xdr:rowOff>133350</xdr:rowOff>
    </xdr:to>
    <xdr:sp macro="" textlink="">
      <xdr:nvSpPr>
        <xdr:cNvPr id="5121" name="Text Box 1"/>
        <xdr:cNvSpPr txBox="1">
          <a:spLocks noChangeArrowheads="1"/>
        </xdr:cNvSpPr>
      </xdr:nvSpPr>
      <xdr:spPr bwMode="auto">
        <a:xfrm>
          <a:off x="142875" y="4171950"/>
          <a:ext cx="5695950" cy="163830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576" tIns="18288" rIns="0" bIns="0" anchor="t" upright="1"/>
        <a:lstStyle/>
        <a:p>
          <a:pPr algn="l" rtl="0">
            <a:defRPr sz="1000"/>
          </a:pPr>
          <a:r>
            <a:rPr lang="en-US" sz="900" b="1" i="0" u="none" strike="noStrike" baseline="0">
              <a:solidFill>
                <a:srgbClr val="000000"/>
              </a:solidFill>
              <a:latin typeface="Courier"/>
            </a:rPr>
            <a:t>Approach 1:  The odds ratio approach.  This explanation for the coefficients works best when you have just a few coefficients to explain.  It's not always clear what the 2x2 table in the odds ratio is, so sometimes coefficients are hard to explain as odds ratios.  Not all interaction coefficients are odds ratios- some are functions of the odds ratio, some are conditional odds ratios, and so on.    </a:t>
          </a:r>
        </a:p>
        <a:p>
          <a:pPr algn="l" rtl="0">
            <a:defRPr sz="1000"/>
          </a:pPr>
          <a:endParaRPr lang="en-US" sz="900" b="1" i="0" u="none" strike="noStrike" baseline="0">
            <a:solidFill>
              <a:srgbClr val="000000"/>
            </a:solidFill>
            <a:latin typeface="Courier"/>
          </a:endParaRPr>
        </a:p>
        <a:p>
          <a:pPr algn="l" rtl="0">
            <a:defRPr sz="1000"/>
          </a:pPr>
          <a:r>
            <a:rPr lang="en-US" sz="900" b="1" i="0" u="none" strike="noStrike" baseline="0">
              <a:solidFill>
                <a:srgbClr val="000000"/>
              </a:solidFill>
              <a:latin typeface="Courier"/>
            </a:rPr>
            <a:t>Model 3a, College Endogamy as the Only Interaction.</a:t>
          </a: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table hed wed, contents (mean col_endog)</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a:t>
          </a:r>
        </a:p>
        <a:p>
          <a:pPr algn="l" rtl="0">
            <a:defRPr sz="1000"/>
          </a:pPr>
          <a:r>
            <a:rPr lang="en-US" sz="900" b="0" i="0" u="none" strike="noStrike" baseline="0">
              <a:solidFill>
                <a:srgbClr val="000000"/>
              </a:solidFill>
              <a:latin typeface="Courier"/>
            </a:rPr>
            <a:t>          |          wed          </a:t>
          </a:r>
        </a:p>
        <a:p>
          <a:pPr algn="l" rtl="0">
            <a:defRPr sz="1000"/>
          </a:pPr>
          <a:r>
            <a:rPr lang="en-US" sz="900" b="0" i="0" u="none" strike="noStrike" baseline="0">
              <a:solidFill>
                <a:srgbClr val="000000"/>
              </a:solidFill>
              <a:latin typeface="Courier"/>
            </a:rPr>
            <a:t>      hed |    1     2     3     4</a:t>
          </a:r>
        </a:p>
        <a:p>
          <a:pPr algn="l" rtl="0">
            <a:defRPr sz="1000"/>
          </a:pPr>
          <a:r>
            <a:rPr lang="en-US" sz="900" b="0" i="0" u="none" strike="noStrike" baseline="0">
              <a:solidFill>
                <a:srgbClr val="000000"/>
              </a:solidFill>
              <a:latin typeface="Courier"/>
            </a:rPr>
            <a:t>----------+-----------------------</a:t>
          </a:r>
        </a:p>
        <a:p>
          <a:pPr algn="l" rtl="0">
            <a:defRPr sz="1000"/>
          </a:pPr>
          <a:r>
            <a:rPr lang="en-US" sz="900" b="0" i="0" u="none" strike="noStrike" baseline="0">
              <a:solidFill>
                <a:srgbClr val="000000"/>
              </a:solidFill>
              <a:latin typeface="Courier"/>
            </a:rPr>
            <a:t>        1 |    0     0     0     0</a:t>
          </a:r>
        </a:p>
        <a:p>
          <a:pPr algn="l" rtl="0">
            <a:defRPr sz="1000"/>
          </a:pPr>
          <a:r>
            <a:rPr lang="en-US" sz="900" b="0" i="0" u="none" strike="noStrike" baseline="0">
              <a:solidFill>
                <a:srgbClr val="000000"/>
              </a:solidFill>
              <a:latin typeface="Courier"/>
            </a:rPr>
            <a:t>        2 |    0     0     0     0</a:t>
          </a:r>
        </a:p>
        <a:p>
          <a:pPr algn="l" rtl="0">
            <a:defRPr sz="1000"/>
          </a:pPr>
          <a:r>
            <a:rPr lang="en-US" sz="900" b="0" i="0" u="none" strike="noStrike" baseline="0">
              <a:solidFill>
                <a:srgbClr val="000000"/>
              </a:solidFill>
              <a:latin typeface="Courier"/>
            </a:rPr>
            <a:t>        3 |    0     0     0     0</a:t>
          </a:r>
        </a:p>
        <a:p>
          <a:pPr algn="l" rtl="0">
            <a:defRPr sz="1000"/>
          </a:pPr>
          <a:r>
            <a:rPr lang="en-US" sz="900" b="0" i="0" u="none" strike="noStrike" baseline="0">
              <a:solidFill>
                <a:srgbClr val="000000"/>
              </a:solidFill>
              <a:latin typeface="Courier"/>
            </a:rPr>
            <a:t>        4 |    0     0     0     1</a:t>
          </a:r>
        </a:p>
        <a:p>
          <a:pPr algn="l" rtl="0">
            <a:defRPr sz="1000"/>
          </a:pPr>
          <a:r>
            <a:rPr lang="en-US" sz="900" b="0" i="0" u="none" strike="noStrike" baseline="0">
              <a:solidFill>
                <a:srgbClr val="000000"/>
              </a:solidFill>
              <a:latin typeface="Courier"/>
            </a:rPr>
            <a:t>----------------------------------</a:t>
          </a:r>
        </a:p>
        <a:p>
          <a:pPr algn="l" rtl="0">
            <a:defRPr sz="1000"/>
          </a:pPr>
          <a:endParaRPr lang="en-US" sz="900" b="0" i="0" u="none" strike="noStrike" baseline="0">
            <a:solidFill>
              <a:srgbClr val="000000"/>
            </a:solidFill>
            <a:latin typeface="Courier"/>
          </a:endParaRP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 desmat: poisson count hed wed col_endog</a:t>
          </a:r>
        </a:p>
        <a:p>
          <a:pPr algn="l" rtl="0">
            <a:defRPr sz="1000"/>
          </a:pPr>
          <a:r>
            <a:rPr lang="en-US" sz="900" b="0" i="0" u="none" strike="noStrike" baseline="0">
              <a:solidFill>
                <a:srgbClr val="000000"/>
              </a:solidFill>
              <a:latin typeface="Courier"/>
            </a:rPr>
            <a:t>----------------------------------------------------------------------</a:t>
          </a:r>
        </a:p>
        <a:p>
          <a:pPr algn="l" rtl="0">
            <a:defRPr sz="1000"/>
          </a:pPr>
          <a:r>
            <a:rPr lang="en-US" sz="900" b="0" i="0" u="none" strike="noStrike" baseline="0">
              <a:solidFill>
                <a:srgbClr val="000000"/>
              </a:solidFill>
              <a:latin typeface="Courier"/>
            </a:rPr>
            <a:t>   Poisson regression</a:t>
          </a:r>
        </a:p>
        <a:p>
          <a:pPr algn="l" rtl="0">
            <a:defRPr sz="1000"/>
          </a:pPr>
          <a:r>
            <a:rPr lang="en-US" sz="900" b="0" i="0" u="none" strike="noStrike" baseline="0">
              <a:solidFill>
                <a:srgbClr val="000000"/>
              </a:solidFill>
              <a:latin typeface="Courier"/>
            </a:rPr>
            <a:t>----------------------------------------------------------------------</a:t>
          </a:r>
        </a:p>
        <a:p>
          <a:pPr algn="l" rtl="0">
            <a:defRPr sz="1000"/>
          </a:pPr>
          <a:r>
            <a:rPr lang="en-US" sz="900" b="0" i="0" u="none" strike="noStrike" baseline="0">
              <a:solidFill>
                <a:srgbClr val="000000"/>
              </a:solidFill>
              <a:latin typeface="Courier"/>
            </a:rPr>
            <a:t>   Dependent variable                                           count</a:t>
          </a:r>
        </a:p>
        <a:p>
          <a:pPr algn="l" rtl="0">
            <a:defRPr sz="1000"/>
          </a:pPr>
          <a:r>
            <a:rPr lang="en-US" sz="900" b="0" i="0" u="none" strike="noStrike" baseline="0">
              <a:solidFill>
                <a:srgbClr val="000000"/>
              </a:solidFill>
              <a:latin typeface="Courier"/>
            </a:rPr>
            <a:t>   Optimization:                                                   ml</a:t>
          </a:r>
        </a:p>
        <a:p>
          <a:pPr algn="l" rtl="0">
            <a:defRPr sz="1000"/>
          </a:pPr>
          <a:r>
            <a:rPr lang="en-US" sz="900" b="0" i="0" u="none" strike="noStrike" baseline="0">
              <a:solidFill>
                <a:srgbClr val="000000"/>
              </a:solidFill>
              <a:latin typeface="Courier"/>
            </a:rPr>
            <a:t>   Number of observations:                                         16</a:t>
          </a:r>
        </a:p>
        <a:p>
          <a:pPr algn="l" rtl="0">
            <a:defRPr sz="1000"/>
          </a:pPr>
          <a:r>
            <a:rPr lang="en-US" sz="900" b="0" i="0" u="none" strike="noStrike" baseline="0">
              <a:solidFill>
                <a:srgbClr val="000000"/>
              </a:solidFill>
              <a:latin typeface="Courier"/>
            </a:rPr>
            <a:t>   Initial log likelihood:                                -221501.223</a:t>
          </a:r>
        </a:p>
        <a:p>
          <a:pPr algn="l" rtl="0">
            <a:defRPr sz="1000"/>
          </a:pPr>
          <a:r>
            <a:rPr lang="en-US" sz="900" b="0" i="0" u="none" strike="noStrike" baseline="0">
              <a:solidFill>
                <a:srgbClr val="000000"/>
              </a:solidFill>
              <a:latin typeface="Courier"/>
            </a:rPr>
            <a:t>   Log likelihood:                                         -59782.157</a:t>
          </a:r>
        </a:p>
        <a:p>
          <a:pPr algn="l" rtl="0">
            <a:defRPr sz="1000"/>
          </a:pPr>
          <a:r>
            <a:rPr lang="en-US" sz="900" b="0" i="0" u="none" strike="noStrike" baseline="0">
              <a:solidFill>
                <a:srgbClr val="000000"/>
              </a:solidFill>
              <a:latin typeface="Courier"/>
            </a:rPr>
            <a:t>   LR chi square:                                          323438.133</a:t>
          </a:r>
        </a:p>
        <a:p>
          <a:pPr algn="l" rtl="0">
            <a:defRPr sz="1000"/>
          </a:pPr>
          <a:r>
            <a:rPr lang="en-US" sz="900" b="0" i="0" u="none" strike="noStrike" baseline="0">
              <a:solidFill>
                <a:srgbClr val="000000"/>
              </a:solidFill>
              <a:latin typeface="Courier"/>
            </a:rPr>
            <a:t>   Model degrees of freedom:                                        7</a:t>
          </a:r>
        </a:p>
        <a:p>
          <a:pPr algn="l" rtl="0">
            <a:defRPr sz="1000"/>
          </a:pPr>
          <a:r>
            <a:rPr lang="en-US" sz="900" b="0" i="0" u="none" strike="noStrike" baseline="0">
              <a:solidFill>
                <a:srgbClr val="000000"/>
              </a:solidFill>
              <a:latin typeface="Courier"/>
            </a:rPr>
            <a:t>   Pseudo R-squared:                                            0.730</a:t>
          </a:r>
        </a:p>
        <a:p>
          <a:pPr algn="l" rtl="0">
            <a:defRPr sz="1000"/>
          </a:pPr>
          <a:r>
            <a:rPr lang="en-US" sz="900" b="0" i="0" u="none" strike="noStrike" baseline="0">
              <a:solidFill>
                <a:srgbClr val="000000"/>
              </a:solidFill>
              <a:latin typeface="Courier"/>
            </a:rPr>
            <a:t>   Prob:                                                        0.000</a:t>
          </a:r>
        </a:p>
        <a:p>
          <a:pPr algn="l" rtl="0">
            <a:defRPr sz="1000"/>
          </a:pPr>
          <a:r>
            <a:rPr lang="en-US" sz="900" b="0" i="0" u="none" strike="noStrike" baseline="0">
              <a:solidFill>
                <a:srgbClr val="000000"/>
              </a:solidFill>
              <a:latin typeface="Courier"/>
            </a:rPr>
            <a:t>----------------------------------------------------------------------</a:t>
          </a:r>
        </a:p>
        <a:p>
          <a:pPr algn="l" rtl="0">
            <a:defRPr sz="1000"/>
          </a:pPr>
          <a:r>
            <a:rPr lang="en-US" sz="900" b="0" i="0" u="none" strike="noStrike" baseline="0">
              <a:solidFill>
                <a:srgbClr val="000000"/>
              </a:solidFill>
              <a:latin typeface="Courier"/>
            </a:rPr>
            <a:t>nr Effect                                           Coeff        s.e.</a:t>
          </a:r>
        </a:p>
        <a:p>
          <a:pPr algn="l" rtl="0">
            <a:defRPr sz="1000"/>
          </a:pPr>
          <a:r>
            <a:rPr lang="en-US" sz="900" b="0" i="0" u="none" strike="noStrike" baseline="0">
              <a:solidFill>
                <a:srgbClr val="000000"/>
              </a:solidFill>
              <a:latin typeface="Courier"/>
            </a:rPr>
            <a:t>----------------------------------------------------------------------</a:t>
          </a:r>
        </a:p>
        <a:p>
          <a:pPr algn="l" rtl="0">
            <a:defRPr sz="1000"/>
          </a:pPr>
          <a:r>
            <a:rPr lang="en-US" sz="900" b="0" i="0" u="none" strike="noStrike" baseline="0">
              <a:solidFill>
                <a:srgbClr val="000000"/>
              </a:solidFill>
              <a:latin typeface="Courier"/>
            </a:rPr>
            <a:t>   count</a:t>
          </a:r>
        </a:p>
        <a:p>
          <a:pPr algn="l" rtl="0">
            <a:defRPr sz="1000"/>
          </a:pPr>
          <a:r>
            <a:rPr lang="en-US" sz="900" b="0" i="0" u="none" strike="noStrike" baseline="0">
              <a:solidFill>
                <a:srgbClr val="000000"/>
              </a:solidFill>
              <a:latin typeface="Courier"/>
            </a:rPr>
            <a:t>     hed</a:t>
          </a:r>
        </a:p>
        <a:p>
          <a:pPr algn="l" rtl="0">
            <a:defRPr sz="1000"/>
          </a:pPr>
          <a:r>
            <a:rPr lang="en-US" sz="900" b="0" i="0" u="none" strike="noStrike" baseline="0">
              <a:solidFill>
                <a:srgbClr val="000000"/>
              </a:solidFill>
              <a:latin typeface="Courier"/>
            </a:rPr>
            <a:t>1      2                                            1.072**     0.004</a:t>
          </a:r>
        </a:p>
        <a:p>
          <a:pPr algn="l" rtl="0">
            <a:defRPr sz="1000"/>
          </a:pPr>
          <a:r>
            <a:rPr lang="en-US" sz="900" b="0" i="0" u="none" strike="noStrike" baseline="0">
              <a:solidFill>
                <a:srgbClr val="000000"/>
              </a:solidFill>
              <a:latin typeface="Courier"/>
            </a:rPr>
            <a:t>2      3                                            0.595**     0.005</a:t>
          </a:r>
        </a:p>
        <a:p>
          <a:pPr algn="l" rtl="0">
            <a:defRPr sz="1000"/>
          </a:pPr>
          <a:r>
            <a:rPr lang="en-US" sz="900" b="0" i="0" u="none" strike="noStrike" baseline="0">
              <a:solidFill>
                <a:srgbClr val="000000"/>
              </a:solidFill>
              <a:latin typeface="Courier"/>
            </a:rPr>
            <a:t>3      4                                           -0.477**     0.006</a:t>
          </a:r>
        </a:p>
        <a:p>
          <a:pPr algn="l" rtl="0">
            <a:defRPr sz="1000"/>
          </a:pPr>
          <a:r>
            <a:rPr lang="en-US" sz="900" b="0" i="0" u="none" strike="noStrike" baseline="0">
              <a:solidFill>
                <a:srgbClr val="000000"/>
              </a:solidFill>
              <a:latin typeface="Courier"/>
            </a:rPr>
            <a:t>     wed</a:t>
          </a:r>
        </a:p>
        <a:p>
          <a:pPr algn="l" rtl="0">
            <a:defRPr sz="1000"/>
          </a:pPr>
          <a:r>
            <a:rPr lang="en-US" sz="900" b="0" i="0" u="none" strike="noStrike" baseline="0">
              <a:solidFill>
                <a:srgbClr val="000000"/>
              </a:solidFill>
              <a:latin typeface="Courier"/>
            </a:rPr>
            <a:t>4      2                                            1.229**     0.004</a:t>
          </a:r>
        </a:p>
        <a:p>
          <a:pPr algn="l" rtl="0">
            <a:defRPr sz="1000"/>
          </a:pPr>
          <a:r>
            <a:rPr lang="en-US" sz="900" b="0" i="0" u="none" strike="noStrike" baseline="0">
              <a:solidFill>
                <a:srgbClr val="000000"/>
              </a:solidFill>
              <a:latin typeface="Courier"/>
            </a:rPr>
            <a:t>5      3                                            0.733**     0.005</a:t>
          </a:r>
        </a:p>
        <a:p>
          <a:pPr algn="l" rtl="0">
            <a:defRPr sz="1000"/>
          </a:pPr>
          <a:r>
            <a:rPr lang="en-US" sz="900" b="0" i="0" u="none" strike="noStrike" baseline="0">
              <a:solidFill>
                <a:srgbClr val="000000"/>
              </a:solidFill>
              <a:latin typeface="Courier"/>
            </a:rPr>
            <a:t>6      4                                           -0.804**     0.007</a:t>
          </a:r>
        </a:p>
        <a:p>
          <a:pPr algn="l" rtl="0">
            <a:defRPr sz="1000"/>
          </a:pPr>
          <a:r>
            <a:rPr lang="en-US" sz="900" b="0" i="0" u="none" strike="noStrike" baseline="0">
              <a:solidFill>
                <a:srgbClr val="000000"/>
              </a:solidFill>
              <a:latin typeface="Courier"/>
            </a:rPr>
            <a:t>     col_endog</a:t>
          </a:r>
        </a:p>
        <a:p>
          <a:pPr algn="l" rtl="0">
            <a:defRPr sz="1000"/>
          </a:pPr>
          <a:r>
            <a:rPr lang="en-US" sz="900" b="0" i="0" u="none" strike="noStrike" baseline="0">
              <a:solidFill>
                <a:srgbClr val="000000"/>
              </a:solidFill>
              <a:latin typeface="Courier"/>
            </a:rPr>
            <a:t>7      1                                            2.841**     0.009</a:t>
          </a:r>
        </a:p>
        <a:p>
          <a:pPr algn="l" rtl="0">
            <a:defRPr sz="1000"/>
          </a:pPr>
          <a:r>
            <a:rPr lang="en-US" sz="900" b="0" i="0" u="none" strike="noStrike" baseline="0">
              <a:solidFill>
                <a:srgbClr val="000000"/>
              </a:solidFill>
              <a:latin typeface="Courier"/>
            </a:rPr>
            <a:t>8    _cons                                          9.284**     0.005</a:t>
          </a:r>
        </a:p>
        <a:p>
          <a:pPr algn="l" rtl="0">
            <a:defRPr sz="1000"/>
          </a:pPr>
          <a:r>
            <a:rPr lang="en-US" sz="900" b="0" i="0" u="none" strike="noStrike" baseline="0">
              <a:solidFill>
                <a:srgbClr val="000000"/>
              </a:solidFill>
              <a:latin typeface="Courier"/>
            </a:rPr>
            <a:t>----------------------------------------------------------------------</a:t>
          </a:r>
        </a:p>
        <a:p>
          <a:pPr algn="l" rtl="0">
            <a:defRPr sz="1000"/>
          </a:pPr>
          <a:r>
            <a:rPr lang="en-US" sz="900" b="0" i="0" u="none" strike="noStrike" baseline="0">
              <a:solidFill>
                <a:srgbClr val="000000"/>
              </a:solidFill>
              <a:latin typeface="Courier"/>
            </a:rPr>
            <a:t>*  p &lt; .05</a:t>
          </a:r>
        </a:p>
        <a:p>
          <a:pPr algn="l" rtl="0">
            <a:defRPr sz="1000"/>
          </a:pPr>
          <a:r>
            <a:rPr lang="en-US" sz="900" b="0" i="0" u="none" strike="noStrike" baseline="0">
              <a:solidFill>
                <a:srgbClr val="000000"/>
              </a:solidFill>
              <a:latin typeface="Courier"/>
            </a:rPr>
            <a:t>** p &lt; .01</a:t>
          </a:r>
          <a:endParaRPr lang="en-US" sz="900" b="0" i="0" u="none" strike="noStrike" baseline="0">
            <a:solidFill>
              <a:srgbClr val="000000"/>
            </a:solidFill>
            <a:latin typeface="Geneva"/>
          </a:endParaRPr>
        </a:p>
        <a:p>
          <a:pPr algn="l" rtl="0">
            <a:defRPr sz="1000"/>
          </a:pPr>
          <a:endParaRPr lang="en-US" sz="900" b="0" i="0" u="none" strike="noStrike" baseline="0">
            <a:solidFill>
              <a:srgbClr val="000000"/>
            </a:solidFill>
            <a:latin typeface="Geneva"/>
          </a:endParaRPr>
        </a:p>
        <a:p>
          <a:pPr algn="l" rtl="0">
            <a:defRPr sz="1000"/>
          </a:pPr>
          <a:r>
            <a:rPr lang="en-US" sz="900" b="0" i="0" u="none" strike="noStrike" baseline="0">
              <a:solidFill>
                <a:srgbClr val="000000"/>
              </a:solidFill>
              <a:latin typeface="Geneva"/>
            </a:rPr>
            <a:t>. poisgof</a:t>
          </a:r>
        </a:p>
        <a:p>
          <a:pPr algn="l" rtl="0">
            <a:defRPr sz="1000"/>
          </a:pPr>
          <a:endParaRPr lang="en-US" sz="900" b="0" i="0" u="none" strike="noStrike" baseline="0">
            <a:solidFill>
              <a:srgbClr val="000000"/>
            </a:solidFill>
            <a:latin typeface="Geneva"/>
          </a:endParaRPr>
        </a:p>
        <a:p>
          <a:pPr algn="l" rtl="0">
            <a:defRPr sz="1000"/>
          </a:pPr>
          <a:r>
            <a:rPr lang="en-US" sz="900" b="0" i="0" u="none" strike="noStrike" baseline="0">
              <a:solidFill>
                <a:srgbClr val="000000"/>
              </a:solidFill>
              <a:latin typeface="Geneva"/>
            </a:rPr>
            <a:t>         Goodness-of-fit chi2  =  119378.3</a:t>
          </a:r>
        </a:p>
        <a:p>
          <a:pPr algn="l" rtl="0">
            <a:defRPr sz="1000"/>
          </a:pPr>
          <a:r>
            <a:rPr lang="en-US" sz="900" b="0" i="0" u="none" strike="noStrike" baseline="0">
              <a:solidFill>
                <a:srgbClr val="000000"/>
              </a:solidFill>
              <a:latin typeface="Geneva"/>
            </a:rPr>
            <a:t>         Prob &gt; chi2(8)        =    0.0000</a:t>
          </a:r>
        </a:p>
        <a:p>
          <a:pPr algn="l" rtl="0">
            <a:defRPr sz="1000"/>
          </a:pPr>
          <a:endParaRPr lang="en-US" sz="900" b="0" i="0" u="none" strike="noStrike" baseline="0">
            <a:solidFill>
              <a:srgbClr val="000000"/>
            </a:solidFill>
            <a:latin typeface="Geneva"/>
          </a:endParaRPr>
        </a:p>
        <a:p>
          <a:pPr algn="l" rtl="0">
            <a:defRPr sz="1000"/>
          </a:pPr>
          <a:r>
            <a:rPr lang="en-US" sz="900" b="1" i="0" u="none" strike="noStrike" baseline="0">
              <a:solidFill>
                <a:srgbClr val="000000"/>
              </a:solidFill>
              <a:latin typeface="Geneva"/>
            </a:rPr>
            <a:t>Show that the coefficient for college endogamy, 2.841 is really the log odds ratio of a collapsed 2x2 table of husband college (vs other husbands) and wife college (vs other wives).  </a:t>
          </a:r>
        </a:p>
        <a:p>
          <a:pPr algn="l" rtl="0">
            <a:defRPr sz="1000"/>
          </a:pPr>
          <a:endParaRPr lang="en-US" sz="900" b="1" i="0" u="none" strike="noStrike" baseline="0">
            <a:solidFill>
              <a:srgbClr val="000000"/>
            </a:solidFill>
            <a:latin typeface="Geneva"/>
          </a:endParaRPr>
        </a:p>
        <a:p>
          <a:pPr algn="l" rtl="0">
            <a:defRPr sz="1000"/>
          </a:pPr>
          <a:r>
            <a:rPr lang="en-US" sz="900" b="1" i="0" u="none" strike="noStrike" baseline="0">
              <a:solidFill>
                <a:srgbClr val="000000"/>
              </a:solidFill>
              <a:latin typeface="Geneva"/>
            </a:rPr>
            <a:t>Interpretation: The odds of marrying a college educated man (compared to all other men) are exp(2.841)=17 times higher for college educated women than for all other women.</a:t>
          </a:r>
          <a:endParaRPr lang="en-US" sz="900" b="0" i="0" u="none" strike="noStrike" baseline="0">
            <a:solidFill>
              <a:srgbClr val="000000"/>
            </a:solidFill>
            <a:latin typeface="Geneva"/>
          </a:endParaRP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 table hed wed, contents(sum count) row col</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a:t>
          </a:r>
        </a:p>
        <a:p>
          <a:pPr algn="l" rtl="0">
            <a:defRPr sz="1000"/>
          </a:pPr>
          <a:r>
            <a:rPr lang="en-US" sz="900" b="0" i="0" u="none" strike="noStrike" baseline="0">
              <a:solidFill>
                <a:srgbClr val="000000"/>
              </a:solidFill>
              <a:latin typeface="Courier"/>
            </a:rPr>
            <a:t>          |                  wed                  </a:t>
          </a:r>
        </a:p>
        <a:p>
          <a:pPr algn="l" rtl="0">
            <a:defRPr sz="1000"/>
          </a:pPr>
          <a:r>
            <a:rPr lang="en-US" sz="900" b="0" i="0" u="none" strike="noStrike" baseline="0">
              <a:solidFill>
                <a:srgbClr val="000000"/>
              </a:solidFill>
              <a:latin typeface="Courier"/>
            </a:rPr>
            <a:t>      hed |      1       2       3       4   Total</a:t>
          </a:r>
        </a:p>
        <a:p>
          <a:pPr algn="l" rtl="0">
            <a:defRPr sz="1000"/>
          </a:pPr>
          <a:r>
            <a:rPr lang="en-US" sz="900" b="0" i="0" u="none" strike="noStrike" baseline="0">
              <a:solidFill>
                <a:srgbClr val="000000"/>
              </a:solidFill>
              <a:latin typeface="Courier"/>
            </a:rPr>
            <a:t>----------+---------------------------------------</a:t>
          </a:r>
        </a:p>
        <a:p>
          <a:pPr algn="l" rtl="0">
            <a:defRPr sz="1000"/>
          </a:pPr>
          <a:r>
            <a:rPr lang="en-US" sz="900" b="0" i="0" u="none" strike="noStrike" baseline="0">
              <a:solidFill>
                <a:srgbClr val="000000"/>
              </a:solidFill>
              <a:latin typeface="Courier"/>
            </a:rPr>
            <a:t>        1 |  32016   33374    8407     988   74785</a:t>
          </a:r>
        </a:p>
        <a:p>
          <a:pPr algn="l" rtl="0">
            <a:defRPr sz="1000"/>
          </a:pPr>
          <a:r>
            <a:rPr lang="en-US" sz="900" b="0" i="0" u="none" strike="noStrike" baseline="0">
              <a:solidFill>
                <a:srgbClr val="000000"/>
              </a:solidFill>
              <a:latin typeface="Courier"/>
            </a:rPr>
            <a:t>        2 |  28370  137876   43783    8446  218475</a:t>
          </a:r>
        </a:p>
        <a:p>
          <a:pPr algn="l" rtl="0">
            <a:defRPr sz="1000"/>
          </a:pPr>
          <a:r>
            <a:rPr lang="en-US" sz="900" b="0" i="0" u="none" strike="noStrike" baseline="0">
              <a:solidFill>
                <a:srgbClr val="000000"/>
              </a:solidFill>
              <a:latin typeface="Courier"/>
            </a:rPr>
            <a:t>        3 |   7051   48766   61633   18195  135645</a:t>
          </a:r>
        </a:p>
        <a:p>
          <a:pPr algn="l" rtl="0">
            <a:defRPr sz="1000"/>
          </a:pPr>
          <a:r>
            <a:rPr lang="en-US" sz="900" b="0" i="0" u="none" strike="noStrike" baseline="0">
              <a:solidFill>
                <a:srgbClr val="000000"/>
              </a:solidFill>
              <a:latin typeface="Courier"/>
            </a:rPr>
            <a:t>        4 |    984   13794   28635   51224   94637</a:t>
          </a:r>
        </a:p>
        <a:p>
          <a:pPr algn="l" rtl="0">
            <a:defRPr sz="1000"/>
          </a:pPr>
          <a:r>
            <a:rPr lang="en-US" sz="900" b="0" i="0" u="none" strike="noStrike" baseline="0">
              <a:solidFill>
                <a:srgbClr val="000000"/>
              </a:solidFill>
              <a:latin typeface="Courier"/>
            </a:rPr>
            <a:t>          | </a:t>
          </a:r>
        </a:p>
        <a:p>
          <a:pPr algn="l" rtl="0">
            <a:defRPr sz="1000"/>
          </a:pPr>
          <a:r>
            <a:rPr lang="en-US" sz="900" b="0" i="0" u="none" strike="noStrike" baseline="0">
              <a:solidFill>
                <a:srgbClr val="000000"/>
              </a:solidFill>
              <a:latin typeface="Courier"/>
            </a:rPr>
            <a:t>    Total |  68421  233810  142458   78853  523542</a:t>
          </a:r>
        </a:p>
        <a:p>
          <a:pPr algn="l" rtl="0">
            <a:defRPr sz="1000"/>
          </a:pPr>
          <a:r>
            <a:rPr lang="en-US" sz="900" b="0" i="0" u="none" strike="noStrike" baseline="0">
              <a:solidFill>
                <a:srgbClr val="000000"/>
              </a:solidFill>
              <a:latin typeface="Courier"/>
            </a:rPr>
            <a:t>--------------------------------------------------</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 gen byte husb_col=0</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 replace husb_col=1 if hed==4</a:t>
          </a:r>
        </a:p>
        <a:p>
          <a:pPr algn="l" rtl="0">
            <a:defRPr sz="1000"/>
          </a:pPr>
          <a:r>
            <a:rPr lang="en-US" sz="900" b="0" i="0" u="none" strike="noStrike" baseline="0">
              <a:solidFill>
                <a:srgbClr val="000000"/>
              </a:solidFill>
              <a:latin typeface="Courier"/>
            </a:rPr>
            <a:t>(4 real changes made)</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 gen byte wife_col=0</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 replace wife_col=1 if wed==4</a:t>
          </a:r>
        </a:p>
        <a:p>
          <a:pPr algn="l" rtl="0">
            <a:defRPr sz="1000"/>
          </a:pPr>
          <a:r>
            <a:rPr lang="en-US" sz="900" b="0" i="0" u="none" strike="noStrike" baseline="0">
              <a:solidFill>
                <a:srgbClr val="000000"/>
              </a:solidFill>
              <a:latin typeface="Courier"/>
            </a:rPr>
            <a:t>(4 real changes made)</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 table husb_col wife_col, contents(sum count) row col</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a:t>
          </a:r>
        </a:p>
        <a:p>
          <a:pPr algn="l" rtl="0">
            <a:defRPr sz="1000"/>
          </a:pPr>
          <a:r>
            <a:rPr lang="en-US" sz="900" b="0" i="0" u="none" strike="noStrike" baseline="0">
              <a:solidFill>
                <a:srgbClr val="000000"/>
              </a:solidFill>
              <a:latin typeface="Courier"/>
            </a:rPr>
            <a:t>          |        wife_col       </a:t>
          </a:r>
        </a:p>
        <a:p>
          <a:pPr algn="l" rtl="0">
            <a:defRPr sz="1000"/>
          </a:pPr>
          <a:r>
            <a:rPr lang="en-US" sz="900" b="0" i="0" u="none" strike="noStrike" baseline="0">
              <a:solidFill>
                <a:srgbClr val="000000"/>
              </a:solidFill>
              <a:latin typeface="Courier"/>
            </a:rPr>
            <a:t> husb_col |      0       1   Total</a:t>
          </a:r>
        </a:p>
        <a:p>
          <a:pPr algn="l" rtl="0">
            <a:defRPr sz="1000"/>
          </a:pPr>
          <a:r>
            <a:rPr lang="en-US" sz="900" b="0" i="0" u="none" strike="noStrike" baseline="0">
              <a:solidFill>
                <a:srgbClr val="000000"/>
              </a:solidFill>
              <a:latin typeface="Courier"/>
            </a:rPr>
            <a:t>----------+-----------------------</a:t>
          </a:r>
        </a:p>
        <a:p>
          <a:pPr algn="l" rtl="0">
            <a:defRPr sz="1000"/>
          </a:pPr>
          <a:r>
            <a:rPr lang="en-US" sz="900" b="0" i="0" u="none" strike="noStrike" baseline="0">
              <a:solidFill>
                <a:srgbClr val="000000"/>
              </a:solidFill>
              <a:latin typeface="Courier"/>
            </a:rPr>
            <a:t>        0 | 401276   27629  428905</a:t>
          </a:r>
        </a:p>
        <a:p>
          <a:pPr algn="l" rtl="0">
            <a:defRPr sz="1000"/>
          </a:pPr>
          <a:r>
            <a:rPr lang="en-US" sz="900" b="0" i="0" u="none" strike="noStrike" baseline="0">
              <a:solidFill>
                <a:srgbClr val="000000"/>
              </a:solidFill>
              <a:latin typeface="Courier"/>
            </a:rPr>
            <a:t>        1 |  43413   51224   94637</a:t>
          </a:r>
        </a:p>
        <a:p>
          <a:pPr algn="l" rtl="0">
            <a:defRPr sz="1000"/>
          </a:pPr>
          <a:r>
            <a:rPr lang="en-US" sz="900" b="0" i="0" u="none" strike="noStrike" baseline="0">
              <a:solidFill>
                <a:srgbClr val="000000"/>
              </a:solidFill>
              <a:latin typeface="Courier"/>
            </a:rPr>
            <a:t>          | </a:t>
          </a:r>
        </a:p>
        <a:p>
          <a:pPr algn="l" rtl="0">
            <a:defRPr sz="1000"/>
          </a:pPr>
          <a:r>
            <a:rPr lang="en-US" sz="900" b="0" i="0" u="none" strike="noStrike" baseline="0">
              <a:solidFill>
                <a:srgbClr val="000000"/>
              </a:solidFill>
              <a:latin typeface="Courier"/>
            </a:rPr>
            <a:t>    Total | 444689   78853  523542</a:t>
          </a:r>
        </a:p>
        <a:p>
          <a:pPr algn="l" rtl="0">
            <a:defRPr sz="1000"/>
          </a:pPr>
          <a:r>
            <a:rPr lang="en-US" sz="900" b="0" i="0" u="none" strike="noStrike" baseline="0">
              <a:solidFill>
                <a:srgbClr val="000000"/>
              </a:solidFill>
              <a:latin typeface="Courier"/>
            </a:rPr>
            <a:t>----------------------------------</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 display ln((401276*51224)/(27629*43413))</a:t>
          </a:r>
        </a:p>
        <a:p>
          <a:pPr algn="l" rtl="0">
            <a:defRPr sz="1000"/>
          </a:pPr>
          <a:r>
            <a:rPr lang="en-US" sz="900" b="0" i="0" u="none" strike="noStrike" baseline="0">
              <a:solidFill>
                <a:srgbClr val="000000"/>
              </a:solidFill>
              <a:latin typeface="Courier"/>
            </a:rPr>
            <a:t>2.8412328</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 display sqrt((1/401276)+(1/27629)+(1/43413)+(1/51224))</a:t>
          </a:r>
        </a:p>
        <a:p>
          <a:pPr algn="l" rtl="0">
            <a:defRPr sz="1000"/>
          </a:pPr>
          <a:r>
            <a:rPr lang="en-US" sz="900" b="0" i="0" u="none" strike="noStrike" baseline="0">
              <a:solidFill>
                <a:srgbClr val="000000"/>
              </a:solidFill>
              <a:latin typeface="Courier"/>
            </a:rPr>
            <a:t>.00901347</a:t>
          </a:r>
        </a:p>
        <a:p>
          <a:pPr algn="l" rtl="0">
            <a:defRPr sz="1000"/>
          </a:pPr>
          <a:r>
            <a:rPr lang="en-US" sz="900" b="0" i="0" u="none" strike="noStrike" baseline="0">
              <a:solidFill>
                <a:srgbClr val="000000"/>
              </a:solidFill>
              <a:latin typeface="Courier"/>
            </a:rPr>
            <a:t>END</a:t>
          </a:r>
        </a:p>
        <a:p>
          <a:pPr algn="l" rtl="0">
            <a:defRPr sz="1000"/>
          </a:pPr>
          <a:endParaRPr lang="en-US" sz="900" b="0" i="0" u="none" strike="noStrike" baseline="0">
            <a:solidFill>
              <a:srgbClr val="000000"/>
            </a:solidFill>
            <a:latin typeface="Courier"/>
          </a:endParaRPr>
        </a:p>
      </xdr:txBody>
    </xdr:sp>
    <xdr:clientData/>
  </xdr:twoCellAnchor>
  <xdr:twoCellAnchor>
    <xdr:from>
      <xdr:col>7</xdr:col>
      <xdr:colOff>295275</xdr:colOff>
      <xdr:row>27</xdr:row>
      <xdr:rowOff>47625</xdr:rowOff>
    </xdr:from>
    <xdr:to>
      <xdr:col>17</xdr:col>
      <xdr:colOff>352425</xdr:colOff>
      <xdr:row>138</xdr:row>
      <xdr:rowOff>28575</xdr:rowOff>
    </xdr:to>
    <xdr:sp macro="" textlink="">
      <xdr:nvSpPr>
        <xdr:cNvPr id="5122" name="Text Box 2"/>
        <xdr:cNvSpPr txBox="1">
          <a:spLocks noChangeArrowheads="1"/>
        </xdr:cNvSpPr>
      </xdr:nvSpPr>
      <xdr:spPr bwMode="auto">
        <a:xfrm>
          <a:off x="6086475" y="4162425"/>
          <a:ext cx="6153150" cy="1689735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576" tIns="18288" rIns="0" bIns="0" anchor="t" upright="1"/>
        <a:lstStyle/>
        <a:p>
          <a:pPr algn="l" rtl="0">
            <a:defRPr sz="1000"/>
          </a:pPr>
          <a:r>
            <a:rPr lang="en-US" sz="900" b="1" i="0" u="none" strike="noStrike" baseline="0">
              <a:solidFill>
                <a:srgbClr val="000000"/>
              </a:solidFill>
              <a:latin typeface="Courier"/>
            </a:rPr>
            <a:t>Approach 2:  This approach is called incidence rate ratio by the Stata manual, and relative risk by Agresti.  While the odds ratio approach is a useful way to think and write about a small number of interactions, the incidence rate ratio approach is more generally always applicable. What's nice about the incidence rate approach is that you can use the dummy variables to easily figure out what the comparison group is.  This is especially useful if one has a big table with a lot of coefficients.</a:t>
          </a:r>
          <a:endParaRPr lang="en-US" sz="900" b="0" i="0" u="none" strike="noStrike" baseline="0">
            <a:solidFill>
              <a:srgbClr val="000000"/>
            </a:solidFill>
            <a:latin typeface="Courier"/>
          </a:endParaRP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See my document 'interpreting coefficients'</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From Model 3a (previous panel) we would say that 'The incidence rate of college endogamy is 17 times higher than the rate of other educational combinations, controling for the sizes of each group.'</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Approach 2, the incidence rate ratio approach, really starts to be the best option when there is a table with a bunch of coefficients, so that the comparison groups for the odds ratios get tough to figure out.</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Consider Model 8.  This is a model with full educational endogamy, eddiff3 (sex symmetric), eddiff2 (sex symmetric), eddiff1m (husband has more) and eddiff3m (husband has more).  </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1) The best way to start with this complicated set of interaction coefficients is to add them all into a table, each into all the cells to which they apply.  The Stata output for the model is below, and the coefficients are above.</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Here's Model 8:</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 desmat: poisson count  hed wed full_endog eddiff3 eddiff2 eddiff1_</a:t>
          </a:r>
        </a:p>
        <a:p>
          <a:pPr algn="l" rtl="0">
            <a:defRPr sz="1000"/>
          </a:pPr>
          <a:r>
            <a:rPr lang="en-US" sz="900" b="0" i="0" u="none" strike="noStrike" baseline="0">
              <a:solidFill>
                <a:srgbClr val="000000"/>
              </a:solidFill>
              <a:latin typeface="Courier"/>
            </a:rPr>
            <a:t>&gt; male eddiff3_male</a:t>
          </a:r>
        </a:p>
        <a:p>
          <a:pPr algn="l" rtl="0">
            <a:defRPr sz="1000"/>
          </a:pPr>
          <a:r>
            <a:rPr lang="en-US" sz="900" b="0" i="0" u="none" strike="noStrike" baseline="0">
              <a:solidFill>
                <a:srgbClr val="000000"/>
              </a:solidFill>
              <a:latin typeface="Courier"/>
            </a:rPr>
            <a:t>--------------------------------------------------------------------</a:t>
          </a:r>
        </a:p>
        <a:p>
          <a:pPr algn="l" rtl="0">
            <a:defRPr sz="1000"/>
          </a:pPr>
          <a:r>
            <a:rPr lang="en-US" sz="900" b="0" i="0" u="none" strike="noStrike" baseline="0">
              <a:solidFill>
                <a:srgbClr val="000000"/>
              </a:solidFill>
              <a:latin typeface="Courier"/>
            </a:rPr>
            <a:t>   Poisson regression</a:t>
          </a:r>
        </a:p>
        <a:p>
          <a:pPr algn="l" rtl="0">
            <a:defRPr sz="1000"/>
          </a:pPr>
          <a:r>
            <a:rPr lang="en-US" sz="900" b="0" i="0" u="none" strike="noStrike" baseline="0">
              <a:solidFill>
                <a:srgbClr val="000000"/>
              </a:solidFill>
              <a:latin typeface="Courier"/>
            </a:rPr>
            <a:t>--------------------------------------------------------------------</a:t>
          </a:r>
        </a:p>
        <a:p>
          <a:pPr algn="l" rtl="0">
            <a:defRPr sz="1000"/>
          </a:pPr>
          <a:r>
            <a:rPr lang="en-US" sz="900" b="0" i="0" u="none" strike="noStrike" baseline="0">
              <a:solidFill>
                <a:srgbClr val="000000"/>
              </a:solidFill>
              <a:latin typeface="Courier"/>
            </a:rPr>
            <a:t>   Dependent variable                                         count</a:t>
          </a:r>
        </a:p>
        <a:p>
          <a:pPr algn="l" rtl="0">
            <a:defRPr sz="1000"/>
          </a:pPr>
          <a:r>
            <a:rPr lang="en-US" sz="900" b="0" i="0" u="none" strike="noStrike" baseline="0">
              <a:solidFill>
                <a:srgbClr val="000000"/>
              </a:solidFill>
              <a:latin typeface="Courier"/>
            </a:rPr>
            <a:t>   Optimization:                                                 ml</a:t>
          </a:r>
        </a:p>
        <a:p>
          <a:pPr algn="l" rtl="0">
            <a:defRPr sz="1000"/>
          </a:pPr>
          <a:r>
            <a:rPr lang="en-US" sz="900" b="0" i="0" u="none" strike="noStrike" baseline="0">
              <a:solidFill>
                <a:srgbClr val="000000"/>
              </a:solidFill>
              <a:latin typeface="Courier"/>
            </a:rPr>
            <a:t>   Number of observations:                                       16</a:t>
          </a:r>
        </a:p>
        <a:p>
          <a:pPr algn="l" rtl="0">
            <a:defRPr sz="1000"/>
          </a:pPr>
          <a:r>
            <a:rPr lang="en-US" sz="900" b="0" i="0" u="none" strike="noStrike" baseline="0">
              <a:solidFill>
                <a:srgbClr val="000000"/>
              </a:solidFill>
              <a:latin typeface="Courier"/>
            </a:rPr>
            <a:t>   Initial log likelihood:                              -221501.223</a:t>
          </a:r>
        </a:p>
        <a:p>
          <a:pPr algn="l" rtl="0">
            <a:defRPr sz="1000"/>
          </a:pPr>
          <a:r>
            <a:rPr lang="en-US" sz="900" b="0" i="0" u="none" strike="noStrike" baseline="0">
              <a:solidFill>
                <a:srgbClr val="000000"/>
              </a:solidFill>
              <a:latin typeface="Courier"/>
            </a:rPr>
            <a:t>   Log likelihood:                                          -95.087</a:t>
          </a:r>
        </a:p>
        <a:p>
          <a:pPr algn="l" rtl="0">
            <a:defRPr sz="1000"/>
          </a:pPr>
          <a:r>
            <a:rPr lang="en-US" sz="900" b="0" i="0" u="none" strike="noStrike" baseline="0">
              <a:solidFill>
                <a:srgbClr val="000000"/>
              </a:solidFill>
              <a:latin typeface="Courier"/>
            </a:rPr>
            <a:t>   LR chi square:                                        442812.272</a:t>
          </a:r>
        </a:p>
        <a:p>
          <a:pPr algn="l" rtl="0">
            <a:defRPr sz="1000"/>
          </a:pPr>
          <a:r>
            <a:rPr lang="en-US" sz="900" b="0" i="0" u="none" strike="noStrike" baseline="0">
              <a:solidFill>
                <a:srgbClr val="000000"/>
              </a:solidFill>
              <a:latin typeface="Courier"/>
            </a:rPr>
            <a:t>   Model degrees of freedom:                                     14</a:t>
          </a:r>
        </a:p>
        <a:p>
          <a:pPr algn="l" rtl="0">
            <a:defRPr sz="1000"/>
          </a:pPr>
          <a:r>
            <a:rPr lang="en-US" sz="900" b="0" i="0" u="none" strike="noStrike" baseline="0">
              <a:solidFill>
                <a:srgbClr val="000000"/>
              </a:solidFill>
              <a:latin typeface="Courier"/>
            </a:rPr>
            <a:t>   Pseudo R-squared:                                          1.000</a:t>
          </a:r>
        </a:p>
        <a:p>
          <a:pPr algn="l" rtl="0">
            <a:defRPr sz="1000"/>
          </a:pPr>
          <a:r>
            <a:rPr lang="en-US" sz="900" b="0" i="0" u="none" strike="noStrike" baseline="0">
              <a:solidFill>
                <a:srgbClr val="000000"/>
              </a:solidFill>
              <a:latin typeface="Courier"/>
            </a:rPr>
            <a:t>   Prob:                                                      0.000</a:t>
          </a:r>
        </a:p>
        <a:p>
          <a:pPr algn="l" rtl="0">
            <a:defRPr sz="1000"/>
          </a:pPr>
          <a:r>
            <a:rPr lang="en-US" sz="900" b="0" i="0" u="none" strike="noStrike" baseline="0">
              <a:solidFill>
                <a:srgbClr val="000000"/>
              </a:solidFill>
              <a:latin typeface="Courier"/>
            </a:rPr>
            <a:t>--------------------------------------------------------------------</a:t>
          </a:r>
        </a:p>
        <a:p>
          <a:pPr algn="l" rtl="0">
            <a:defRPr sz="1000"/>
          </a:pPr>
          <a:r>
            <a:rPr lang="en-US" sz="900" b="0" i="0" u="none" strike="noStrike" baseline="0">
              <a:solidFill>
                <a:srgbClr val="000000"/>
              </a:solidFill>
              <a:latin typeface="Courier"/>
            </a:rPr>
            <a:t>nr Effect                                         Coeff        s.e.</a:t>
          </a:r>
        </a:p>
        <a:p>
          <a:pPr algn="l" rtl="0">
            <a:defRPr sz="1000"/>
          </a:pPr>
          <a:r>
            <a:rPr lang="en-US" sz="900" b="0" i="0" u="none" strike="noStrike" baseline="0">
              <a:solidFill>
                <a:srgbClr val="000000"/>
              </a:solidFill>
              <a:latin typeface="Courier"/>
            </a:rPr>
            <a:t>--------------------------------------------------------------------</a:t>
          </a:r>
        </a:p>
        <a:p>
          <a:pPr algn="l" rtl="0">
            <a:defRPr sz="1000"/>
          </a:pPr>
          <a:r>
            <a:rPr lang="en-US" sz="900" b="0" i="0" u="none" strike="noStrike" baseline="0">
              <a:solidFill>
                <a:srgbClr val="000000"/>
              </a:solidFill>
              <a:latin typeface="Courier"/>
            </a:rPr>
            <a:t>   count</a:t>
          </a:r>
        </a:p>
        <a:p>
          <a:pPr algn="l" rtl="0">
            <a:defRPr sz="1000"/>
          </a:pPr>
          <a:r>
            <a:rPr lang="en-US" sz="900" b="0" i="0" u="none" strike="noStrike" baseline="0">
              <a:solidFill>
                <a:srgbClr val="000000"/>
              </a:solidFill>
              <a:latin typeface="Courier"/>
            </a:rPr>
            <a:t>     hed</a:t>
          </a:r>
        </a:p>
        <a:p>
          <a:pPr algn="l" rtl="0">
            <a:defRPr sz="1000"/>
          </a:pPr>
          <a:r>
            <a:rPr lang="en-US" sz="900" b="0" i="0" u="none" strike="noStrike" baseline="0">
              <a:solidFill>
                <a:srgbClr val="000000"/>
              </a:solidFill>
              <a:latin typeface="Courier"/>
            </a:rPr>
            <a:t>1      2                                          0.618**     0.008</a:t>
          </a:r>
        </a:p>
        <a:p>
          <a:pPr algn="l" rtl="0">
            <a:defRPr sz="1000"/>
          </a:pPr>
          <a:r>
            <a:rPr lang="en-US" sz="900" b="0" i="0" u="none" strike="noStrike" baseline="0">
              <a:solidFill>
                <a:srgbClr val="000000"/>
              </a:solidFill>
              <a:latin typeface="Courier"/>
            </a:rPr>
            <a:t>2      3                                          0.330**     0.008</a:t>
          </a:r>
        </a:p>
        <a:p>
          <a:pPr algn="l" rtl="0">
            <a:defRPr sz="1000"/>
          </a:pPr>
          <a:r>
            <a:rPr lang="en-US" sz="900" b="0" i="0" u="none" strike="noStrike" baseline="0">
              <a:solidFill>
                <a:srgbClr val="000000"/>
              </a:solidFill>
              <a:latin typeface="Courier"/>
            </a:rPr>
            <a:t>3      4                                          0.150**     0.010</a:t>
          </a:r>
        </a:p>
        <a:p>
          <a:pPr algn="l" rtl="0">
            <a:defRPr sz="1000"/>
          </a:pPr>
          <a:r>
            <a:rPr lang="en-US" sz="900" b="0" i="0" u="none" strike="noStrike" baseline="0">
              <a:solidFill>
                <a:srgbClr val="000000"/>
              </a:solidFill>
              <a:latin typeface="Courier"/>
            </a:rPr>
            <a:t>     wed</a:t>
          </a:r>
        </a:p>
        <a:p>
          <a:pPr algn="l" rtl="0">
            <a:defRPr sz="1000"/>
          </a:pPr>
          <a:r>
            <a:rPr lang="en-US" sz="900" b="0" i="0" u="none" strike="noStrike" baseline="0">
              <a:solidFill>
                <a:srgbClr val="000000"/>
              </a:solidFill>
              <a:latin typeface="Courier"/>
            </a:rPr>
            <a:t>4      2                                          0.833**     0.008</a:t>
          </a:r>
        </a:p>
        <a:p>
          <a:pPr algn="l" rtl="0">
            <a:defRPr sz="1000"/>
          </a:pPr>
          <a:r>
            <a:rPr lang="en-US" sz="900" b="0" i="0" u="none" strike="noStrike" baseline="0">
              <a:solidFill>
                <a:srgbClr val="000000"/>
              </a:solidFill>
              <a:latin typeface="Courier"/>
            </a:rPr>
            <a:t>5      3                                          0.484**     0.008</a:t>
          </a:r>
        </a:p>
        <a:p>
          <a:pPr algn="l" rtl="0">
            <a:defRPr sz="1000"/>
          </a:pPr>
          <a:r>
            <a:rPr lang="en-US" sz="900" b="0" i="0" u="none" strike="noStrike" baseline="0">
              <a:solidFill>
                <a:srgbClr val="000000"/>
              </a:solidFill>
              <a:latin typeface="Courier"/>
            </a:rPr>
            <a:t>6      4                                         -0.110**     0.011</a:t>
          </a:r>
        </a:p>
        <a:p>
          <a:pPr algn="l" rtl="0">
            <a:defRPr sz="1000"/>
          </a:pPr>
          <a:r>
            <a:rPr lang="en-US" sz="900" b="0" i="0" u="none" strike="noStrike" baseline="0">
              <a:solidFill>
                <a:srgbClr val="000000"/>
              </a:solidFill>
              <a:latin typeface="Courier"/>
            </a:rPr>
            <a:t>     full_endog</a:t>
          </a:r>
        </a:p>
        <a:p>
          <a:pPr algn="l" rtl="0">
            <a:defRPr sz="1000"/>
          </a:pPr>
          <a:r>
            <a:rPr lang="en-US" sz="900" b="0" i="0" u="none" strike="noStrike" baseline="0">
              <a:solidFill>
                <a:srgbClr val="000000"/>
              </a:solidFill>
              <a:latin typeface="Courier"/>
            </a:rPr>
            <a:t>7      1                                          0.789**     0.011</a:t>
          </a:r>
        </a:p>
        <a:p>
          <a:pPr algn="l" rtl="0">
            <a:defRPr sz="1000"/>
          </a:pPr>
          <a:r>
            <a:rPr lang="en-US" sz="900" b="0" i="0" u="none" strike="noStrike" baseline="0">
              <a:solidFill>
                <a:srgbClr val="000000"/>
              </a:solidFill>
              <a:latin typeface="Courier"/>
            </a:rPr>
            <a:t>8      2                                          0.798**     0.008</a:t>
          </a:r>
        </a:p>
        <a:p>
          <a:pPr algn="l" rtl="0">
            <a:defRPr sz="1000"/>
          </a:pPr>
          <a:r>
            <a:rPr lang="en-US" sz="900" b="0" i="0" u="none" strike="noStrike" baseline="0">
              <a:solidFill>
                <a:srgbClr val="000000"/>
              </a:solidFill>
              <a:latin typeface="Courier"/>
            </a:rPr>
            <a:t>9      3                                          0.631**     0.009</a:t>
          </a:r>
        </a:p>
        <a:p>
          <a:pPr algn="l" rtl="0">
            <a:defRPr sz="1000"/>
          </a:pPr>
          <a:r>
            <a:rPr lang="en-US" sz="900" b="0" i="0" u="none" strike="noStrike" baseline="0">
              <a:solidFill>
                <a:srgbClr val="000000"/>
              </a:solidFill>
              <a:latin typeface="Courier"/>
            </a:rPr>
            <a:t>10     4                                          1.220**     0.011</a:t>
          </a:r>
        </a:p>
        <a:p>
          <a:pPr algn="l" rtl="0">
            <a:defRPr sz="1000"/>
          </a:pPr>
          <a:r>
            <a:rPr lang="en-US" sz="900" b="0" i="0" u="none" strike="noStrike" baseline="0">
              <a:solidFill>
                <a:srgbClr val="000000"/>
              </a:solidFill>
              <a:latin typeface="Courier"/>
            </a:rPr>
            <a:t>     eddiff3</a:t>
          </a:r>
        </a:p>
        <a:p>
          <a:pPr algn="l" rtl="0">
            <a:defRPr sz="1000"/>
          </a:pPr>
          <a:r>
            <a:rPr lang="en-US" sz="900" b="0" i="0" u="none" strike="noStrike" baseline="0">
              <a:solidFill>
                <a:srgbClr val="000000"/>
              </a:solidFill>
              <a:latin typeface="Courier"/>
            </a:rPr>
            <a:t>11     1                                         -2.579**     0.033</a:t>
          </a:r>
        </a:p>
        <a:p>
          <a:pPr algn="l" rtl="0">
            <a:defRPr sz="1000"/>
          </a:pPr>
          <a:r>
            <a:rPr lang="en-US" sz="900" b="0" i="0" u="none" strike="noStrike" baseline="0">
              <a:solidFill>
                <a:srgbClr val="000000"/>
              </a:solidFill>
              <a:latin typeface="Courier"/>
            </a:rPr>
            <a:t>     eddiff2</a:t>
          </a:r>
        </a:p>
        <a:p>
          <a:pPr algn="l" rtl="0">
            <a:defRPr sz="1000"/>
          </a:pPr>
          <a:r>
            <a:rPr lang="en-US" sz="900" b="0" i="0" u="none" strike="noStrike" baseline="0">
              <a:solidFill>
                <a:srgbClr val="000000"/>
              </a:solidFill>
              <a:latin typeface="Courier"/>
            </a:rPr>
            <a:t>12     1                                         -1.042**     0.007</a:t>
          </a:r>
        </a:p>
        <a:p>
          <a:pPr algn="l" rtl="0">
            <a:defRPr sz="1000"/>
          </a:pPr>
          <a:r>
            <a:rPr lang="en-US" sz="900" b="0" i="0" u="none" strike="noStrike" baseline="0">
              <a:solidFill>
                <a:srgbClr val="000000"/>
              </a:solidFill>
              <a:latin typeface="Courier"/>
            </a:rPr>
            <a:t>     eddiff1_male</a:t>
          </a:r>
        </a:p>
        <a:p>
          <a:pPr algn="l" rtl="0">
            <a:defRPr sz="1000"/>
          </a:pPr>
          <a:r>
            <a:rPr lang="en-US" sz="900" b="0" i="0" u="none" strike="noStrike" baseline="0">
              <a:solidFill>
                <a:srgbClr val="000000"/>
              </a:solidFill>
              <a:latin typeface="Courier"/>
            </a:rPr>
            <a:t>13     1                                          0.047**     0.007</a:t>
          </a:r>
        </a:p>
        <a:p>
          <a:pPr algn="l" rtl="0">
            <a:defRPr sz="1000"/>
          </a:pPr>
          <a:r>
            <a:rPr lang="en-US" sz="900" b="0" i="0" u="none" strike="noStrike" baseline="0">
              <a:solidFill>
                <a:srgbClr val="000000"/>
              </a:solidFill>
              <a:latin typeface="Courier"/>
            </a:rPr>
            <a:t>     eddiff3_male</a:t>
          </a:r>
        </a:p>
        <a:p>
          <a:pPr algn="l" rtl="0">
            <a:defRPr sz="1000"/>
          </a:pPr>
          <a:r>
            <a:rPr lang="en-US" sz="900" b="0" i="0" u="none" strike="noStrike" baseline="0">
              <a:solidFill>
                <a:srgbClr val="000000"/>
              </a:solidFill>
              <a:latin typeface="Courier"/>
            </a:rPr>
            <a:t>14     1                                         -0.264**     0.048</a:t>
          </a:r>
        </a:p>
        <a:p>
          <a:pPr algn="l" rtl="0">
            <a:defRPr sz="1000"/>
          </a:pPr>
          <a:r>
            <a:rPr lang="en-US" sz="900" b="0" i="0" u="none" strike="noStrike" baseline="0">
              <a:solidFill>
                <a:srgbClr val="000000"/>
              </a:solidFill>
              <a:latin typeface="Courier"/>
            </a:rPr>
            <a:t>15   _cons                                        9.585**     0.010</a:t>
          </a:r>
        </a:p>
        <a:p>
          <a:pPr algn="l" rtl="0">
            <a:defRPr sz="1000"/>
          </a:pPr>
          <a:r>
            <a:rPr lang="en-US" sz="900" b="0" i="0" u="none" strike="noStrike" baseline="0">
              <a:solidFill>
                <a:srgbClr val="000000"/>
              </a:solidFill>
              <a:latin typeface="Courier"/>
            </a:rPr>
            <a:t>--------------------------------------------------------------------</a:t>
          </a:r>
        </a:p>
        <a:p>
          <a:pPr algn="l" rtl="0">
            <a:defRPr sz="1000"/>
          </a:pPr>
          <a:r>
            <a:rPr lang="en-US" sz="900" b="0" i="0" u="none" strike="noStrike" baseline="0">
              <a:solidFill>
                <a:srgbClr val="000000"/>
              </a:solidFill>
              <a:latin typeface="Courier"/>
            </a:rPr>
            <a:t>*  p &lt; .05</a:t>
          </a:r>
        </a:p>
        <a:p>
          <a:pPr algn="l" rtl="0">
            <a:defRPr sz="1000"/>
          </a:pPr>
          <a:r>
            <a:rPr lang="en-US" sz="900" b="0" i="0" u="none" strike="noStrike" baseline="0">
              <a:solidFill>
                <a:srgbClr val="000000"/>
              </a:solidFill>
              <a:latin typeface="Courier"/>
            </a:rPr>
            <a:t>** p &lt; .01</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 poisgof</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         Goodness-of-fit chi2  =  4.174479</a:t>
          </a:r>
        </a:p>
        <a:p>
          <a:pPr algn="l" rtl="0">
            <a:defRPr sz="1000"/>
          </a:pPr>
          <a:r>
            <a:rPr lang="en-US" sz="900" b="0" i="0" u="none" strike="noStrike" baseline="0">
              <a:solidFill>
                <a:srgbClr val="000000"/>
              </a:solidFill>
              <a:latin typeface="Courier"/>
            </a:rPr>
            <a:t>         Prob &gt; chi2(1)        =    0.0410</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2) The implicit comparison category are the cells to which no interaction coefficients apply, here that's the three cells with wives that have one category more education than their husbands.</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3) To form any other comparison between cells, simply calculate the difference in the sum of coefficients between the cells, then exponentiate to get an incidence rate ratio.  For instance, the incidence rate ratio of women with less than high school degree marrying men of less than high school degree, compared to men with a college degree is exp(.789-(-2.579)-(-0.264))=exp(3.63)=37.7.  This is a comparison of two cells.</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4) In order to determine whether incidence rate ratio is significantly different from zero or not, if the comparison involves a combination of coefficients, you have to either calculate the standard error of the combination yourself using the variance-covariance matrix, or you can use </a:t>
          </a:r>
          <a:r>
            <a:rPr lang="en-US" sz="900" b="1" i="0" u="none" strike="noStrike" baseline="0">
              <a:solidFill>
                <a:srgbClr val="000000"/>
              </a:solidFill>
              <a:latin typeface="Courier"/>
            </a:rPr>
            <a:t>lincom </a:t>
          </a:r>
          <a:r>
            <a:rPr lang="en-US" sz="900" b="0" i="0" u="none" strike="noStrike" baseline="0">
              <a:solidFill>
                <a:srgbClr val="000000"/>
              </a:solidFill>
              <a:latin typeface="Courier"/>
            </a:rPr>
            <a:t>(if the comparison between the two cells involves only one coefficient, the output from model has already told you whether that coefficient is significant or not).</a:t>
          </a:r>
          <a:endParaRPr lang="en-US" sz="900" b="1" i="0" u="none" strike="noStrike" baseline="0">
            <a:solidFill>
              <a:srgbClr val="000000"/>
            </a:solidFill>
            <a:latin typeface="Courier"/>
          </a:endParaRP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 lincom _x_7-_x_11-_x_14</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 ( 1)  [count]_x_7 - [count]_x_11 - [count]_x_14 = 0</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a:t>
          </a:r>
        </a:p>
        <a:p>
          <a:pPr algn="l" rtl="0">
            <a:defRPr sz="1000"/>
          </a:pPr>
          <a:r>
            <a:rPr lang="en-US" sz="900" b="0" i="0" u="none" strike="noStrike" baseline="0">
              <a:solidFill>
                <a:srgbClr val="000000"/>
              </a:solidFill>
              <a:latin typeface="Courier"/>
            </a:rPr>
            <a:t>       count |      Coef.   Std. Err.      z    P&gt;|z|     [95% Conf. Interval]</a:t>
          </a:r>
        </a:p>
        <a:p>
          <a:pPr algn="l" rtl="0">
            <a:defRPr sz="1000"/>
          </a:pPr>
          <a:r>
            <a:rPr lang="en-US" sz="900" b="0" i="0" u="none" strike="noStrike" baseline="0">
              <a:solidFill>
                <a:srgbClr val="000000"/>
              </a:solidFill>
              <a:latin typeface="Courier"/>
            </a:rPr>
            <a:t>-------------+----------------------------------------------------------------</a:t>
          </a:r>
        </a:p>
        <a:p>
          <a:pPr algn="l" rtl="0">
            <a:defRPr sz="1000"/>
          </a:pPr>
          <a:r>
            <a:rPr lang="en-US" sz="900" b="0" i="0" u="none" strike="noStrike" baseline="0">
              <a:solidFill>
                <a:srgbClr val="000000"/>
              </a:solidFill>
              <a:latin typeface="Courier"/>
            </a:rPr>
            <a:t>         (1) |   3.632008   .0337416   107.64   0.000     3.565876     3.69814</a:t>
          </a:r>
        </a:p>
        <a:p>
          <a:pPr algn="l" rtl="0">
            <a:defRPr sz="1000"/>
          </a:pPr>
          <a:r>
            <a:rPr lang="en-US" sz="900" b="0" i="0" u="none" strike="noStrike" baseline="0">
              <a:solidFill>
                <a:srgbClr val="000000"/>
              </a:solidFill>
              <a:latin typeface="Courier"/>
            </a:rPr>
            <a:t>------------------------------------------------------------------------------</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 display exp(3.63)</a:t>
          </a:r>
        </a:p>
        <a:p>
          <a:pPr algn="l" rtl="0">
            <a:defRPr sz="1000"/>
          </a:pPr>
          <a:r>
            <a:rPr lang="en-US" sz="900" b="0" i="0" u="none" strike="noStrike" baseline="0">
              <a:solidFill>
                <a:srgbClr val="000000"/>
              </a:solidFill>
              <a:latin typeface="Courier"/>
            </a:rPr>
            <a:t>37.712817</a:t>
          </a:r>
        </a:p>
        <a:p>
          <a:pPr algn="l" rtl="0">
            <a:defRPr sz="1000"/>
          </a:pPr>
          <a:r>
            <a:rPr lang="en-US" sz="900" b="0" i="0" u="none" strike="noStrike" baseline="0">
              <a:solidFill>
                <a:srgbClr val="000000"/>
              </a:solidFill>
              <a:latin typeface="Courier"/>
            </a:rPr>
            <a:t>END</a:t>
          </a:r>
        </a:p>
        <a:p>
          <a:pPr algn="l" rtl="0">
            <a:defRPr sz="1000"/>
          </a:pPr>
          <a:endParaRPr lang="en-US" sz="900" b="0" i="0" u="none" strike="noStrike" baseline="0">
            <a:solidFill>
              <a:srgbClr val="000000"/>
            </a:solidFill>
            <a:latin typeface="Courier"/>
          </a:endParaRPr>
        </a:p>
      </xdr:txBody>
    </xdr:sp>
    <xdr:clientData/>
  </xdr:twoCellAnchor>
  <xdr:twoCellAnchor>
    <xdr:from>
      <xdr:col>7</xdr:col>
      <xdr:colOff>190500</xdr:colOff>
      <xdr:row>140</xdr:row>
      <xdr:rowOff>142875</xdr:rowOff>
    </xdr:from>
    <xdr:to>
      <xdr:col>17</xdr:col>
      <xdr:colOff>361950</xdr:colOff>
      <xdr:row>224</xdr:row>
      <xdr:rowOff>9525</xdr:rowOff>
    </xdr:to>
    <xdr:sp macro="" textlink="">
      <xdr:nvSpPr>
        <xdr:cNvPr id="5123" name="Text Box 3"/>
        <xdr:cNvSpPr txBox="1">
          <a:spLocks noChangeArrowheads="1"/>
        </xdr:cNvSpPr>
      </xdr:nvSpPr>
      <xdr:spPr bwMode="auto">
        <a:xfrm>
          <a:off x="5981700" y="21478875"/>
          <a:ext cx="6267450" cy="1266825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en-US" sz="900" b="0" i="0" u="none" strike="noStrike" baseline="0">
              <a:solidFill>
                <a:srgbClr val="000000"/>
              </a:solidFill>
              <a:latin typeface="Courier"/>
            </a:rPr>
            <a:t>The output from Model 8 (above) indicates that the coefficients for endogamy of category 1 (less than high school, coefficient .789) and category 2 (high school ed, coefficient .798) are nearly the same.  If they're indistinguishable we could combine them into one category and save a degree of freedom...</a:t>
          </a:r>
        </a:p>
        <a:p>
          <a:pPr algn="l" rtl="0">
            <a:defRPr sz="1000"/>
          </a:pPr>
          <a:endParaRPr lang="en-US" sz="900" b="0" i="0" u="none" strike="noStrike" baseline="0">
            <a:solidFill>
              <a:srgbClr val="000000"/>
            </a:solidFill>
            <a:latin typeface="Courier"/>
          </a:endParaRP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 lincom _x_7-_x_8</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 ( 1)  [count]_x_7 - [count]_x_8 = 0</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a:t>
          </a:r>
        </a:p>
        <a:p>
          <a:pPr algn="l" rtl="0">
            <a:defRPr sz="1000"/>
          </a:pPr>
          <a:r>
            <a:rPr lang="en-US" sz="900" b="0" i="0" u="none" strike="noStrike" baseline="0">
              <a:solidFill>
                <a:srgbClr val="000000"/>
              </a:solidFill>
              <a:latin typeface="Courier"/>
            </a:rPr>
            <a:t>       count |      Coef.   Std. Err.      z    P&gt;|z|     [95% Conf. Interval]</a:t>
          </a:r>
        </a:p>
        <a:p>
          <a:pPr algn="l" rtl="0">
            <a:defRPr sz="1000"/>
          </a:pPr>
          <a:r>
            <a:rPr lang="en-US" sz="900" b="0" i="0" u="none" strike="noStrike" baseline="0">
              <a:solidFill>
                <a:srgbClr val="000000"/>
              </a:solidFill>
              <a:latin typeface="Courier"/>
            </a:rPr>
            <a:t>-------------+----------------------------------------------------------------</a:t>
          </a:r>
        </a:p>
        <a:p>
          <a:pPr algn="l" rtl="0">
            <a:defRPr sz="1000"/>
          </a:pPr>
          <a:r>
            <a:rPr lang="en-US" sz="900" b="0" i="0" u="none" strike="noStrike" baseline="0">
              <a:solidFill>
                <a:srgbClr val="000000"/>
              </a:solidFill>
              <a:latin typeface="Courier"/>
            </a:rPr>
            <a:t>         (1) |  -.0083855   .0152393    -0.55   0.582    -.0382539     .021483</a:t>
          </a:r>
        </a:p>
        <a:p>
          <a:pPr algn="l" rtl="0">
            <a:defRPr sz="1000"/>
          </a:pPr>
          <a:r>
            <a:rPr lang="en-US" sz="900" b="0" i="0" u="none" strike="noStrike" baseline="0">
              <a:solidFill>
                <a:srgbClr val="000000"/>
              </a:solidFill>
              <a:latin typeface="Courier"/>
            </a:rPr>
            <a:t>------------------------------------------------------------------------------</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They're indistinguishable.  So let's combine them.  The new educational endogamy variable looks like this:</a:t>
          </a:r>
        </a:p>
        <a:p>
          <a:pPr algn="l" rtl="0">
            <a:defRPr sz="1000"/>
          </a:pPr>
          <a:r>
            <a:rPr lang="en-US" sz="900" b="0" i="0" u="none" strike="noStrike" baseline="0">
              <a:solidFill>
                <a:srgbClr val="000000"/>
              </a:solidFill>
              <a:latin typeface="Courier"/>
            </a:rPr>
            <a:t>. table hed wed, contents (mean  edendog_new)</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a:t>
          </a:r>
        </a:p>
        <a:p>
          <a:pPr algn="l" rtl="0">
            <a:defRPr sz="1000"/>
          </a:pPr>
          <a:r>
            <a:rPr lang="en-US" sz="900" b="0" i="0" u="none" strike="noStrike" baseline="0">
              <a:solidFill>
                <a:srgbClr val="000000"/>
              </a:solidFill>
              <a:latin typeface="Courier"/>
            </a:rPr>
            <a:t>          |          wed          </a:t>
          </a:r>
        </a:p>
        <a:p>
          <a:pPr algn="l" rtl="0">
            <a:defRPr sz="1000"/>
          </a:pPr>
          <a:r>
            <a:rPr lang="en-US" sz="900" b="0" i="0" u="none" strike="noStrike" baseline="0">
              <a:solidFill>
                <a:srgbClr val="000000"/>
              </a:solidFill>
              <a:latin typeface="Courier"/>
            </a:rPr>
            <a:t>      hed |    1     2     3     4</a:t>
          </a:r>
        </a:p>
        <a:p>
          <a:pPr algn="l" rtl="0">
            <a:defRPr sz="1000"/>
          </a:pPr>
          <a:r>
            <a:rPr lang="en-US" sz="900" b="0" i="0" u="none" strike="noStrike" baseline="0">
              <a:solidFill>
                <a:srgbClr val="000000"/>
              </a:solidFill>
              <a:latin typeface="Courier"/>
            </a:rPr>
            <a:t>----------+-----------------------</a:t>
          </a:r>
        </a:p>
        <a:p>
          <a:pPr algn="l" rtl="0">
            <a:defRPr sz="1000"/>
          </a:pPr>
          <a:r>
            <a:rPr lang="en-US" sz="900" b="0" i="0" u="none" strike="noStrike" baseline="0">
              <a:solidFill>
                <a:srgbClr val="000000"/>
              </a:solidFill>
              <a:latin typeface="Courier"/>
            </a:rPr>
            <a:t>        1 |    1     0     0     0</a:t>
          </a:r>
        </a:p>
        <a:p>
          <a:pPr algn="l" rtl="0">
            <a:defRPr sz="1000"/>
          </a:pPr>
          <a:r>
            <a:rPr lang="en-US" sz="900" b="0" i="0" u="none" strike="noStrike" baseline="0">
              <a:solidFill>
                <a:srgbClr val="000000"/>
              </a:solidFill>
              <a:latin typeface="Courier"/>
            </a:rPr>
            <a:t>        2 |    0     1     0     0</a:t>
          </a:r>
        </a:p>
        <a:p>
          <a:pPr algn="l" rtl="0">
            <a:defRPr sz="1000"/>
          </a:pPr>
          <a:r>
            <a:rPr lang="en-US" sz="900" b="0" i="0" u="none" strike="noStrike" baseline="0">
              <a:solidFill>
                <a:srgbClr val="000000"/>
              </a:solidFill>
              <a:latin typeface="Courier"/>
            </a:rPr>
            <a:t>        3 |    0     0     2     0</a:t>
          </a:r>
        </a:p>
        <a:p>
          <a:pPr algn="l" rtl="0">
            <a:defRPr sz="1000"/>
          </a:pPr>
          <a:r>
            <a:rPr lang="en-US" sz="900" b="0" i="0" u="none" strike="noStrike" baseline="0">
              <a:solidFill>
                <a:srgbClr val="000000"/>
              </a:solidFill>
              <a:latin typeface="Courier"/>
            </a:rPr>
            <a:t>        4 |    0     0     0     3</a:t>
          </a:r>
        </a:p>
        <a:p>
          <a:pPr algn="l" rtl="0">
            <a:defRPr sz="1000"/>
          </a:pPr>
          <a:r>
            <a:rPr lang="en-US" sz="900" b="0" i="0" u="none" strike="noStrike" baseline="0">
              <a:solidFill>
                <a:srgbClr val="000000"/>
              </a:solidFill>
              <a:latin typeface="Courier"/>
            </a:rPr>
            <a:t>----------------------------------</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Here's the new model 9 which combines the first 2 ed endogamy categories, and saves one degree of freedom.  It fits better by LRT than model 8, and much better by the parsimony loving BIC criteria.</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 desmat: poisson count  hed wed  edendog_new eddiff3 eddiff2 eddiff1_male eddi</a:t>
          </a:r>
        </a:p>
        <a:p>
          <a:pPr algn="l" rtl="0">
            <a:defRPr sz="1000"/>
          </a:pPr>
          <a:r>
            <a:rPr lang="en-US" sz="900" b="0" i="0" u="none" strike="noStrike" baseline="0">
              <a:solidFill>
                <a:srgbClr val="000000"/>
              </a:solidFill>
              <a:latin typeface="Courier"/>
            </a:rPr>
            <a:t>&gt; ff3_male</a:t>
          </a:r>
        </a:p>
        <a:p>
          <a:pPr algn="l" rtl="0">
            <a:defRPr sz="1000"/>
          </a:pPr>
          <a:r>
            <a:rPr lang="en-US" sz="900" b="0" i="0" u="none" strike="noStrike" baseline="0">
              <a:solidFill>
                <a:srgbClr val="000000"/>
              </a:solidFill>
              <a:latin typeface="Courier"/>
            </a:rPr>
            <a:t>-------------------------------------------------------------------------------</a:t>
          </a:r>
        </a:p>
        <a:p>
          <a:pPr algn="l" rtl="0">
            <a:defRPr sz="1000"/>
          </a:pPr>
          <a:r>
            <a:rPr lang="en-US" sz="900" b="0" i="0" u="none" strike="noStrike" baseline="0">
              <a:solidFill>
                <a:srgbClr val="000000"/>
              </a:solidFill>
              <a:latin typeface="Courier"/>
            </a:rPr>
            <a:t>   Poisson regression</a:t>
          </a:r>
        </a:p>
        <a:p>
          <a:pPr algn="l" rtl="0">
            <a:defRPr sz="1000"/>
          </a:pPr>
          <a:r>
            <a:rPr lang="en-US" sz="900" b="0" i="0" u="none" strike="noStrike" baseline="0">
              <a:solidFill>
                <a:srgbClr val="000000"/>
              </a:solidFill>
              <a:latin typeface="Courier"/>
            </a:rPr>
            <a:t>-------------------------------------------------------------------------------</a:t>
          </a:r>
        </a:p>
        <a:p>
          <a:pPr algn="l" rtl="0">
            <a:defRPr sz="1000"/>
          </a:pPr>
          <a:r>
            <a:rPr lang="en-US" sz="900" b="0" i="0" u="none" strike="noStrike" baseline="0">
              <a:solidFill>
                <a:srgbClr val="000000"/>
              </a:solidFill>
              <a:latin typeface="Courier"/>
            </a:rPr>
            <a:t>   Dependent variable                                                    count</a:t>
          </a:r>
        </a:p>
        <a:p>
          <a:pPr algn="l" rtl="0">
            <a:defRPr sz="1000"/>
          </a:pPr>
          <a:r>
            <a:rPr lang="en-US" sz="900" b="0" i="0" u="none" strike="noStrike" baseline="0">
              <a:solidFill>
                <a:srgbClr val="000000"/>
              </a:solidFill>
              <a:latin typeface="Courier"/>
            </a:rPr>
            <a:t>   Optimization:                                                            ml</a:t>
          </a:r>
        </a:p>
        <a:p>
          <a:pPr algn="l" rtl="0">
            <a:defRPr sz="1000"/>
          </a:pPr>
          <a:r>
            <a:rPr lang="en-US" sz="900" b="0" i="0" u="none" strike="noStrike" baseline="0">
              <a:solidFill>
                <a:srgbClr val="000000"/>
              </a:solidFill>
              <a:latin typeface="Courier"/>
            </a:rPr>
            <a:t>   Number of observations:                                                  16</a:t>
          </a:r>
        </a:p>
        <a:p>
          <a:pPr algn="l" rtl="0">
            <a:defRPr sz="1000"/>
          </a:pPr>
          <a:r>
            <a:rPr lang="en-US" sz="900" b="0" i="0" u="none" strike="noStrike" baseline="0">
              <a:solidFill>
                <a:srgbClr val="000000"/>
              </a:solidFill>
              <a:latin typeface="Courier"/>
            </a:rPr>
            <a:t>   Initial log likelihood:                                         -221501.223</a:t>
          </a:r>
        </a:p>
        <a:p>
          <a:pPr algn="l" rtl="0">
            <a:defRPr sz="1000"/>
          </a:pPr>
          <a:r>
            <a:rPr lang="en-US" sz="900" b="0" i="0" u="none" strike="noStrike" baseline="0">
              <a:solidFill>
                <a:srgbClr val="000000"/>
              </a:solidFill>
              <a:latin typeface="Courier"/>
            </a:rPr>
            <a:t>   Log likelihood:                                                     -95.239</a:t>
          </a:r>
        </a:p>
        <a:p>
          <a:pPr algn="l" rtl="0">
            <a:defRPr sz="1000"/>
          </a:pPr>
          <a:r>
            <a:rPr lang="en-US" sz="900" b="0" i="0" u="none" strike="noStrike" baseline="0">
              <a:solidFill>
                <a:srgbClr val="000000"/>
              </a:solidFill>
              <a:latin typeface="Courier"/>
            </a:rPr>
            <a:t>   LR chi square:                                                   442811.969</a:t>
          </a:r>
        </a:p>
        <a:p>
          <a:pPr algn="l" rtl="0">
            <a:defRPr sz="1000"/>
          </a:pPr>
          <a:r>
            <a:rPr lang="en-US" sz="900" b="0" i="0" u="none" strike="noStrike" baseline="0">
              <a:solidFill>
                <a:srgbClr val="000000"/>
              </a:solidFill>
              <a:latin typeface="Courier"/>
            </a:rPr>
            <a:t>   Model degrees of freedom:                                                13</a:t>
          </a:r>
        </a:p>
        <a:p>
          <a:pPr algn="l" rtl="0">
            <a:defRPr sz="1000"/>
          </a:pPr>
          <a:r>
            <a:rPr lang="en-US" sz="900" b="0" i="0" u="none" strike="noStrike" baseline="0">
              <a:solidFill>
                <a:srgbClr val="000000"/>
              </a:solidFill>
              <a:latin typeface="Courier"/>
            </a:rPr>
            <a:t>   Pseudo R-squared:                                                     1.000</a:t>
          </a:r>
        </a:p>
        <a:p>
          <a:pPr algn="l" rtl="0">
            <a:defRPr sz="1000"/>
          </a:pPr>
          <a:r>
            <a:rPr lang="en-US" sz="900" b="0" i="0" u="none" strike="noStrike" baseline="0">
              <a:solidFill>
                <a:srgbClr val="000000"/>
              </a:solidFill>
              <a:latin typeface="Courier"/>
            </a:rPr>
            <a:t>   Prob:                                                                 0.000</a:t>
          </a:r>
        </a:p>
        <a:p>
          <a:pPr algn="l" rtl="0">
            <a:defRPr sz="1000"/>
          </a:pPr>
          <a:r>
            <a:rPr lang="en-US" sz="900" b="0" i="0" u="none" strike="noStrike" baseline="0">
              <a:solidFill>
                <a:srgbClr val="000000"/>
              </a:solidFill>
              <a:latin typeface="Courier"/>
            </a:rPr>
            <a:t>-------------------------------------------------------------------------------</a:t>
          </a:r>
        </a:p>
        <a:p>
          <a:pPr algn="l" rtl="0">
            <a:defRPr sz="1000"/>
          </a:pPr>
          <a:r>
            <a:rPr lang="en-US" sz="900" b="0" i="0" u="none" strike="noStrike" baseline="0">
              <a:solidFill>
                <a:srgbClr val="000000"/>
              </a:solidFill>
              <a:latin typeface="Courier"/>
            </a:rPr>
            <a:t>nr Effect                                                    Coeff        s.e.</a:t>
          </a:r>
        </a:p>
        <a:p>
          <a:pPr algn="l" rtl="0">
            <a:defRPr sz="1000"/>
          </a:pPr>
          <a:r>
            <a:rPr lang="en-US" sz="900" b="0" i="0" u="none" strike="noStrike" baseline="0">
              <a:solidFill>
                <a:srgbClr val="000000"/>
              </a:solidFill>
              <a:latin typeface="Courier"/>
            </a:rPr>
            <a:t>-------------------------------------------------------------------------------</a:t>
          </a:r>
        </a:p>
        <a:p>
          <a:pPr algn="l" rtl="0">
            <a:defRPr sz="1000"/>
          </a:pPr>
          <a:r>
            <a:rPr lang="en-US" sz="900" b="0" i="0" u="none" strike="noStrike" baseline="0">
              <a:solidFill>
                <a:srgbClr val="000000"/>
              </a:solidFill>
              <a:latin typeface="Courier"/>
            </a:rPr>
            <a:t>   count</a:t>
          </a:r>
        </a:p>
        <a:p>
          <a:pPr algn="l" rtl="0">
            <a:defRPr sz="1000"/>
          </a:pPr>
          <a:r>
            <a:rPr lang="en-US" sz="900" b="0" i="0" u="none" strike="noStrike" baseline="0">
              <a:solidFill>
                <a:srgbClr val="000000"/>
              </a:solidFill>
              <a:latin typeface="Courier"/>
            </a:rPr>
            <a:t>     hed</a:t>
          </a:r>
        </a:p>
        <a:p>
          <a:pPr algn="l" rtl="0">
            <a:defRPr sz="1000"/>
          </a:pPr>
          <a:r>
            <a:rPr lang="en-US" sz="900" b="0" i="0" u="none" strike="noStrike" baseline="0">
              <a:solidFill>
                <a:srgbClr val="000000"/>
              </a:solidFill>
              <a:latin typeface="Courier"/>
            </a:rPr>
            <a:t>1      2                                                     0.622**     0.005</a:t>
          </a:r>
        </a:p>
        <a:p>
          <a:pPr algn="l" rtl="0">
            <a:defRPr sz="1000"/>
          </a:pPr>
          <a:r>
            <a:rPr lang="en-US" sz="900" b="0" i="0" u="none" strike="noStrike" baseline="0">
              <a:solidFill>
                <a:srgbClr val="000000"/>
              </a:solidFill>
              <a:latin typeface="Courier"/>
            </a:rPr>
            <a:t>2      3                                                     0.331**     0.008</a:t>
          </a:r>
        </a:p>
        <a:p>
          <a:pPr algn="l" rtl="0">
            <a:defRPr sz="1000"/>
          </a:pPr>
          <a:r>
            <a:rPr lang="en-US" sz="900" b="0" i="0" u="none" strike="noStrike" baseline="0">
              <a:solidFill>
                <a:srgbClr val="000000"/>
              </a:solidFill>
              <a:latin typeface="Courier"/>
            </a:rPr>
            <a:t>3      4                                                     0.151**     0.009</a:t>
          </a:r>
        </a:p>
        <a:p>
          <a:pPr algn="l" rtl="0">
            <a:defRPr sz="1000"/>
          </a:pPr>
          <a:r>
            <a:rPr lang="en-US" sz="900" b="0" i="0" u="none" strike="noStrike" baseline="0">
              <a:solidFill>
                <a:srgbClr val="000000"/>
              </a:solidFill>
              <a:latin typeface="Courier"/>
            </a:rPr>
            <a:t>     wed</a:t>
          </a:r>
        </a:p>
        <a:p>
          <a:pPr algn="l" rtl="0">
            <a:defRPr sz="1000"/>
          </a:pPr>
          <a:r>
            <a:rPr lang="en-US" sz="900" b="0" i="0" u="none" strike="noStrike" baseline="0">
              <a:solidFill>
                <a:srgbClr val="000000"/>
              </a:solidFill>
              <a:latin typeface="Courier"/>
            </a:rPr>
            <a:t>4      2                                                     0.837**     0.005</a:t>
          </a:r>
        </a:p>
        <a:p>
          <a:pPr algn="l" rtl="0">
            <a:defRPr sz="1000"/>
          </a:pPr>
          <a:r>
            <a:rPr lang="en-US" sz="900" b="0" i="0" u="none" strike="noStrike" baseline="0">
              <a:solidFill>
                <a:srgbClr val="000000"/>
              </a:solidFill>
              <a:latin typeface="Courier"/>
            </a:rPr>
            <a:t>5      3                                                     0.486**     0.007</a:t>
          </a:r>
        </a:p>
        <a:p>
          <a:pPr algn="l" rtl="0">
            <a:defRPr sz="1000"/>
          </a:pPr>
          <a:r>
            <a:rPr lang="en-US" sz="900" b="0" i="0" u="none" strike="noStrike" baseline="0">
              <a:solidFill>
                <a:srgbClr val="000000"/>
              </a:solidFill>
              <a:latin typeface="Courier"/>
            </a:rPr>
            <a:t>6      4                                                    -0.108**     0.010</a:t>
          </a:r>
        </a:p>
        <a:p>
          <a:pPr algn="l" rtl="0">
            <a:defRPr sz="1000"/>
          </a:pPr>
          <a:r>
            <a:rPr lang="en-US" sz="900" b="0" i="0" u="none" strike="noStrike" baseline="0">
              <a:solidFill>
                <a:srgbClr val="000000"/>
              </a:solidFill>
              <a:latin typeface="Courier"/>
            </a:rPr>
            <a:t>     edendog_new</a:t>
          </a:r>
        </a:p>
        <a:p>
          <a:pPr algn="l" rtl="0">
            <a:defRPr sz="1000"/>
          </a:pPr>
          <a:r>
            <a:rPr lang="en-US" sz="900" b="0" i="0" u="none" strike="noStrike" baseline="0">
              <a:solidFill>
                <a:srgbClr val="000000"/>
              </a:solidFill>
              <a:latin typeface="Courier"/>
            </a:rPr>
            <a:t>7      1                                                     0.795**     0.006</a:t>
          </a:r>
        </a:p>
        <a:p>
          <a:pPr algn="l" rtl="0">
            <a:defRPr sz="1000"/>
          </a:pPr>
          <a:r>
            <a:rPr lang="en-US" sz="900" b="0" i="0" u="none" strike="noStrike" baseline="0">
              <a:solidFill>
                <a:srgbClr val="000000"/>
              </a:solidFill>
              <a:latin typeface="Courier"/>
            </a:rPr>
            <a:t>8      2                                                     0.632**     0.009</a:t>
          </a:r>
        </a:p>
        <a:p>
          <a:pPr algn="l" rtl="0">
            <a:defRPr sz="1000"/>
          </a:pPr>
          <a:r>
            <a:rPr lang="en-US" sz="900" b="0" i="0" u="none" strike="noStrike" baseline="0">
              <a:solidFill>
                <a:srgbClr val="000000"/>
              </a:solidFill>
              <a:latin typeface="Courier"/>
            </a:rPr>
            <a:t>9      3                                                     1.220**     0.011</a:t>
          </a:r>
        </a:p>
        <a:p>
          <a:pPr algn="l" rtl="0">
            <a:defRPr sz="1000"/>
          </a:pPr>
          <a:r>
            <a:rPr lang="en-US" sz="900" b="0" i="0" u="none" strike="noStrike" baseline="0">
              <a:solidFill>
                <a:srgbClr val="000000"/>
              </a:solidFill>
              <a:latin typeface="Courier"/>
            </a:rPr>
            <a:t>     eddiff3</a:t>
          </a:r>
        </a:p>
        <a:p>
          <a:pPr algn="l" rtl="0">
            <a:defRPr sz="1000"/>
          </a:pPr>
          <a:r>
            <a:rPr lang="en-US" sz="900" b="0" i="0" u="none" strike="noStrike" baseline="0">
              <a:solidFill>
                <a:srgbClr val="000000"/>
              </a:solidFill>
              <a:latin typeface="Courier"/>
            </a:rPr>
            <a:t>10     1                                                    -2.577**     0.033</a:t>
          </a:r>
        </a:p>
        <a:p>
          <a:pPr algn="l" rtl="0">
            <a:defRPr sz="1000"/>
          </a:pPr>
          <a:r>
            <a:rPr lang="en-US" sz="900" b="0" i="0" u="none" strike="noStrike" baseline="0">
              <a:solidFill>
                <a:srgbClr val="000000"/>
              </a:solidFill>
              <a:latin typeface="Courier"/>
            </a:rPr>
            <a:t>     eddiff2</a:t>
          </a:r>
        </a:p>
        <a:p>
          <a:pPr algn="l" rtl="0">
            <a:defRPr sz="1000"/>
          </a:pPr>
          <a:r>
            <a:rPr lang="en-US" sz="900" b="0" i="0" u="none" strike="noStrike" baseline="0">
              <a:solidFill>
                <a:srgbClr val="000000"/>
              </a:solidFill>
              <a:latin typeface="Courier"/>
            </a:rPr>
            <a:t>11     1                                                    -1.041**     0.007</a:t>
          </a:r>
        </a:p>
        <a:p>
          <a:pPr algn="l" rtl="0">
            <a:defRPr sz="1000"/>
          </a:pPr>
          <a:r>
            <a:rPr lang="en-US" sz="900" b="0" i="0" u="none" strike="noStrike" baseline="0">
              <a:solidFill>
                <a:srgbClr val="000000"/>
              </a:solidFill>
              <a:latin typeface="Courier"/>
            </a:rPr>
            <a:t>     eddiff1_male</a:t>
          </a:r>
        </a:p>
        <a:p>
          <a:pPr algn="l" rtl="0">
            <a:defRPr sz="1000"/>
          </a:pPr>
          <a:r>
            <a:rPr lang="en-US" sz="900" b="0" i="0" u="none" strike="noStrike" baseline="0">
              <a:solidFill>
                <a:srgbClr val="000000"/>
              </a:solidFill>
              <a:latin typeface="Courier"/>
            </a:rPr>
            <a:t>12     1                                                     0.047**     0.007</a:t>
          </a:r>
        </a:p>
        <a:p>
          <a:pPr algn="l" rtl="0">
            <a:defRPr sz="1000"/>
          </a:pPr>
          <a:r>
            <a:rPr lang="en-US" sz="900" b="0" i="0" u="none" strike="noStrike" baseline="0">
              <a:solidFill>
                <a:srgbClr val="000000"/>
              </a:solidFill>
              <a:latin typeface="Courier"/>
            </a:rPr>
            <a:t>     eddiff3_male</a:t>
          </a:r>
        </a:p>
        <a:p>
          <a:pPr algn="l" rtl="0">
            <a:defRPr sz="1000"/>
          </a:pPr>
          <a:r>
            <a:rPr lang="en-US" sz="900" b="0" i="0" u="none" strike="noStrike" baseline="0">
              <a:solidFill>
                <a:srgbClr val="000000"/>
              </a:solidFill>
              <a:latin typeface="Courier"/>
            </a:rPr>
            <a:t>13     1                                                    -0.263**     0.048</a:t>
          </a:r>
        </a:p>
        <a:p>
          <a:pPr algn="l" rtl="0">
            <a:defRPr sz="1000"/>
          </a:pPr>
          <a:r>
            <a:rPr lang="en-US" sz="900" b="0" i="0" u="none" strike="noStrike" baseline="0">
              <a:solidFill>
                <a:srgbClr val="000000"/>
              </a:solidFill>
              <a:latin typeface="Courier"/>
            </a:rPr>
            <a:t>14   _cons                                                   9.580**     0.006</a:t>
          </a:r>
        </a:p>
        <a:p>
          <a:pPr algn="l" rtl="0">
            <a:defRPr sz="1000"/>
          </a:pPr>
          <a:r>
            <a:rPr lang="en-US" sz="900" b="0" i="0" u="none" strike="noStrike" baseline="0">
              <a:solidFill>
                <a:srgbClr val="000000"/>
              </a:solidFill>
              <a:latin typeface="Courier"/>
            </a:rPr>
            <a:t>-------------------------------------------------------------------------------</a:t>
          </a:r>
        </a:p>
        <a:p>
          <a:pPr algn="l" rtl="0">
            <a:defRPr sz="1000"/>
          </a:pPr>
          <a:r>
            <a:rPr lang="en-US" sz="900" b="0" i="0" u="none" strike="noStrike" baseline="0">
              <a:solidFill>
                <a:srgbClr val="000000"/>
              </a:solidFill>
              <a:latin typeface="Courier"/>
            </a:rPr>
            <a:t>*  p &lt; .05</a:t>
          </a:r>
        </a:p>
        <a:p>
          <a:pPr algn="l" rtl="0">
            <a:defRPr sz="1000"/>
          </a:pPr>
          <a:r>
            <a:rPr lang="en-US" sz="900" b="0" i="0" u="none" strike="noStrike" baseline="0">
              <a:solidFill>
                <a:srgbClr val="000000"/>
              </a:solidFill>
              <a:latin typeface="Courier"/>
            </a:rPr>
            <a:t>** p &lt; .01</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 poisgof</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         Goodness-of-fit chi2  =  4.477238</a:t>
          </a:r>
        </a:p>
        <a:p>
          <a:pPr algn="l" rtl="0">
            <a:defRPr sz="1000"/>
          </a:pPr>
          <a:r>
            <a:rPr lang="en-US" sz="900" b="0" i="0" u="none" strike="noStrike" baseline="0">
              <a:solidFill>
                <a:srgbClr val="000000"/>
              </a:solidFill>
              <a:latin typeface="Courier"/>
            </a:rPr>
            <a:t>         Prob &gt; chi2(2)        =    0.1066</a:t>
          </a:r>
        </a:p>
        <a:p>
          <a:pPr algn="l" rtl="0">
            <a:defRPr sz="1000"/>
          </a:pPr>
          <a:r>
            <a:rPr lang="en-US" sz="900" b="0" i="0" u="none" strike="noStrike" baseline="0">
              <a:solidFill>
                <a:srgbClr val="000000"/>
              </a:solidFill>
              <a:latin typeface="Courier"/>
            </a:rPr>
            <a:t>END</a:t>
          </a:r>
        </a:p>
      </xdr:txBody>
    </xdr:sp>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666750</xdr:colOff>
      <xdr:row>1</xdr:row>
      <xdr:rowOff>142875</xdr:rowOff>
    </xdr:from>
    <xdr:to>
      <xdr:col>1</xdr:col>
      <xdr:colOff>4114800</xdr:colOff>
      <xdr:row>8</xdr:row>
      <xdr:rowOff>114300</xdr:rowOff>
    </xdr:to>
    <xdr:sp macro="" textlink="">
      <xdr:nvSpPr>
        <xdr:cNvPr id="12289" name="Text Box 1"/>
        <xdr:cNvSpPr txBox="1">
          <a:spLocks noChangeArrowheads="1"/>
        </xdr:cNvSpPr>
      </xdr:nvSpPr>
      <xdr:spPr bwMode="auto">
        <a:xfrm>
          <a:off x="1276350" y="295275"/>
          <a:ext cx="3448050" cy="10382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r>
            <a:rPr lang="en-US" sz="900" b="0" i="0" u="none" strike="noStrike" baseline="0">
              <a:solidFill>
                <a:srgbClr val="000000"/>
              </a:solidFill>
              <a:latin typeface="Geneva"/>
            </a:rPr>
            <a:t>A few models for Qian's dataset, to build up the idea of how to fit models to multidimensional datasets.</a:t>
          </a:r>
        </a:p>
        <a:p>
          <a:pPr algn="l" rtl="0">
            <a:defRPr sz="1000"/>
          </a:pPr>
          <a:r>
            <a:rPr lang="en-US" sz="900" b="0" i="0" u="none" strike="noStrike" baseline="0">
              <a:solidFill>
                <a:srgbClr val="000000"/>
              </a:solidFill>
              <a:latin typeface="Geneva"/>
            </a:rPr>
            <a:t>r_intermar_full is racial intermarriage, for each separate category</a:t>
          </a:r>
        </a:p>
      </xdr:txBody>
    </xdr:sp>
    <xdr:clientData/>
  </xdr:twoCellAnchor>
  <xdr:twoCellAnchor>
    <xdr:from>
      <xdr:col>1</xdr:col>
      <xdr:colOff>571500</xdr:colOff>
      <xdr:row>25</xdr:row>
      <xdr:rowOff>47625</xdr:rowOff>
    </xdr:from>
    <xdr:to>
      <xdr:col>1</xdr:col>
      <xdr:colOff>4219575</xdr:colOff>
      <xdr:row>30</xdr:row>
      <xdr:rowOff>133350</xdr:rowOff>
    </xdr:to>
    <xdr:sp macro="" textlink="">
      <xdr:nvSpPr>
        <xdr:cNvPr id="12290" name="Text Box 2"/>
        <xdr:cNvSpPr txBox="1">
          <a:spLocks noChangeArrowheads="1"/>
        </xdr:cNvSpPr>
      </xdr:nvSpPr>
      <xdr:spPr bwMode="auto">
        <a:xfrm>
          <a:off x="1181100" y="3857625"/>
          <a:ext cx="3648075" cy="8477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Geneva"/>
            </a:rPr>
            <a:t>How many ways can you choose 3 items from 5 if you don't care about the order? 5(4)3/[3(2)]=10, because 5(4)3 is the number of different ways you can select 3 items from 5, and 3(2) is the number of different ways you can put those 3 items in order. Since we don't care about the order, we divide. </a:t>
          </a:r>
        </a:p>
      </xdr:txBody>
    </xdr:sp>
    <xdr:clientData/>
  </xdr:twoCellAnchor>
  <xdr:twoCellAnchor>
    <xdr:from>
      <xdr:col>1</xdr:col>
      <xdr:colOff>466725</xdr:colOff>
      <xdr:row>32</xdr:row>
      <xdr:rowOff>9525</xdr:rowOff>
    </xdr:from>
    <xdr:to>
      <xdr:col>1</xdr:col>
      <xdr:colOff>4162425</xdr:colOff>
      <xdr:row>44</xdr:row>
      <xdr:rowOff>28575</xdr:rowOff>
    </xdr:to>
    <xdr:sp macro="" textlink="">
      <xdr:nvSpPr>
        <xdr:cNvPr id="12291" name="Text Box 3"/>
        <xdr:cNvSpPr txBox="1">
          <a:spLocks noChangeArrowheads="1"/>
        </xdr:cNvSpPr>
      </xdr:nvSpPr>
      <xdr:spPr bwMode="auto">
        <a:xfrm>
          <a:off x="1076325" y="4886325"/>
          <a:ext cx="3695700" cy="184785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Geneva"/>
            </a:rPr>
            <a:t>Additional model fitting:</a:t>
          </a:r>
        </a:p>
        <a:p>
          <a:pPr algn="l" rtl="0">
            <a:defRPr sz="1000"/>
          </a:pPr>
          <a:r>
            <a:rPr lang="en-US" sz="900" b="0" i="0" u="none" strike="noStrike" baseline="0">
              <a:solidFill>
                <a:srgbClr val="000000"/>
              </a:solidFill>
              <a:latin typeface="Geneva"/>
            </a:rPr>
            <a:t>M6: is there an advantage in using the entire saturated meth*feth instead of the endogamy diagonal only? Apparently yes (M6 fits better than M5).</a:t>
          </a:r>
        </a:p>
        <a:p>
          <a:pPr algn="l" rtl="0">
            <a:defRPr sz="1000"/>
          </a:pPr>
          <a:r>
            <a:rPr lang="en-US" sz="900" b="0" i="0" u="none" strike="noStrike" baseline="0">
              <a:solidFill>
                <a:srgbClr val="000000"/>
              </a:solidFill>
              <a:latin typeface="Geneva"/>
            </a:rPr>
            <a:t>M7 allows racial intermarriage to vary by husband's education…</a:t>
          </a:r>
        </a:p>
        <a:p>
          <a:pPr algn="l" rtl="0">
            <a:defRPr sz="1000"/>
          </a:pPr>
          <a:r>
            <a:rPr lang="en-US" sz="900" b="0" i="0" u="none" strike="noStrike" baseline="0">
              <a:solidFill>
                <a:srgbClr val="000000"/>
              </a:solidFill>
              <a:latin typeface="Geneva"/>
            </a:rPr>
            <a:t>M8 allows racial intermarriage also to very by wife's education. In general, the higher level of education is associated with less racial endogamy.</a:t>
          </a:r>
        </a:p>
        <a:p>
          <a:pPr algn="l" rtl="0">
            <a:defRPr sz="1000"/>
          </a:pPr>
          <a:r>
            <a:rPr lang="en-US" sz="900" b="0" i="0" u="none" strike="noStrike" baseline="0">
              <a:solidFill>
                <a:srgbClr val="000000"/>
              </a:solidFill>
              <a:latin typeface="Geneva"/>
            </a:rPr>
            <a:t>M9 allows the saturated med*fed interaction to vary by husband's race.. And there is still some room for improvement.</a:t>
          </a:r>
        </a:p>
        <a:p>
          <a:pPr algn="l" rtl="0">
            <a:defRPr sz="1000"/>
          </a:pPr>
          <a:r>
            <a:rPr lang="en-US" sz="900" b="0" i="0" u="none" strike="noStrike" baseline="0">
              <a:solidFill>
                <a:srgbClr val="000000"/>
              </a:solidFill>
              <a:latin typeface="Geneva"/>
            </a:rPr>
            <a:t>M10 converges slowly (and with some problems in SEs), and fits much worse by BIC</a:t>
          </a:r>
        </a:p>
        <a:p>
          <a:pPr algn="l" rtl="0">
            <a:defRPr sz="1000"/>
          </a:pPr>
          <a:endParaRPr lang="en-US" sz="900" b="0" i="0" u="none" strike="noStrike" baseline="0">
            <a:solidFill>
              <a:srgbClr val="000000"/>
            </a:solidFill>
            <a:latin typeface="Geneva"/>
          </a:endParaRP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1</xdr:col>
      <xdr:colOff>552450</xdr:colOff>
      <xdr:row>84</xdr:row>
      <xdr:rowOff>9525</xdr:rowOff>
    </xdr:from>
    <xdr:to>
      <xdr:col>10</xdr:col>
      <xdr:colOff>161925</xdr:colOff>
      <xdr:row>126</xdr:row>
      <xdr:rowOff>47625</xdr:rowOff>
    </xdr:to>
    <xdr:sp macro="" textlink="">
      <xdr:nvSpPr>
        <xdr:cNvPr id="3073" name="Text Box 1"/>
        <xdr:cNvSpPr txBox="1">
          <a:spLocks noChangeArrowheads="1"/>
        </xdr:cNvSpPr>
      </xdr:nvSpPr>
      <xdr:spPr bwMode="auto">
        <a:xfrm>
          <a:off x="1143000" y="12811125"/>
          <a:ext cx="6381750" cy="643890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en-US" sz="900" b="0" i="0" u="none" strike="noStrike" baseline="0">
              <a:solidFill>
                <a:srgbClr val="000000"/>
              </a:solidFill>
              <a:latin typeface="Courier"/>
            </a:rPr>
            <a:t>. poisson count  _Ihed_*  _Iwed_*  _Iinterfull_* eddiff3  eddiff2 ed1male eddiff3m</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Iteration 0:   log likelihood = -51076.915  </a:t>
          </a:r>
        </a:p>
        <a:p>
          <a:pPr algn="l" rtl="0">
            <a:defRPr sz="1000"/>
          </a:pPr>
          <a:r>
            <a:rPr lang="en-US" sz="900" b="0" i="0" u="none" strike="noStrike" baseline="0">
              <a:solidFill>
                <a:srgbClr val="000000"/>
              </a:solidFill>
              <a:latin typeface="Courier"/>
            </a:rPr>
            <a:t>Iteration 1:   log likelihood =  -643.3598  </a:t>
          </a:r>
        </a:p>
        <a:p>
          <a:pPr algn="l" rtl="0">
            <a:defRPr sz="1000"/>
          </a:pPr>
          <a:r>
            <a:rPr lang="en-US" sz="900" b="0" i="0" u="none" strike="noStrike" baseline="0">
              <a:solidFill>
                <a:srgbClr val="000000"/>
              </a:solidFill>
              <a:latin typeface="Courier"/>
            </a:rPr>
            <a:t>Iteration 2:   log likelihood = -95.979237  </a:t>
          </a:r>
        </a:p>
        <a:p>
          <a:pPr algn="l" rtl="0">
            <a:defRPr sz="1000"/>
          </a:pPr>
          <a:r>
            <a:rPr lang="en-US" sz="900" b="0" i="0" u="none" strike="noStrike" baseline="0">
              <a:solidFill>
                <a:srgbClr val="000000"/>
              </a:solidFill>
              <a:latin typeface="Courier"/>
            </a:rPr>
            <a:t>Iteration 3:   log likelihood = -95.087266  </a:t>
          </a:r>
        </a:p>
        <a:p>
          <a:pPr algn="l" rtl="0">
            <a:defRPr sz="1000"/>
          </a:pPr>
          <a:r>
            <a:rPr lang="en-US" sz="900" b="0" i="0" u="none" strike="noStrike" baseline="0">
              <a:solidFill>
                <a:srgbClr val="000000"/>
              </a:solidFill>
              <a:latin typeface="Courier"/>
            </a:rPr>
            <a:t>Iteration 4:   log likelihood = -95.087239  </a:t>
          </a:r>
        </a:p>
        <a:p>
          <a:pPr algn="l" rtl="0">
            <a:defRPr sz="1000"/>
          </a:pPr>
          <a:r>
            <a:rPr lang="en-US" sz="900" b="0" i="0" u="none" strike="noStrike" baseline="0">
              <a:solidFill>
                <a:srgbClr val="000000"/>
              </a:solidFill>
              <a:latin typeface="Courier"/>
            </a:rPr>
            <a:t>Iteration 5:   log likelihood = -95.087239  </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Poisson regression                                Number of obs   =         16</a:t>
          </a:r>
        </a:p>
        <a:p>
          <a:pPr algn="l" rtl="0">
            <a:defRPr sz="1000"/>
          </a:pPr>
          <a:r>
            <a:rPr lang="en-US" sz="900" b="0" i="0" u="none" strike="noStrike" baseline="0">
              <a:solidFill>
                <a:srgbClr val="000000"/>
              </a:solidFill>
              <a:latin typeface="Courier"/>
            </a:rPr>
            <a:t>                                                  LR chi2(14)     =  442812.27</a:t>
          </a:r>
        </a:p>
        <a:p>
          <a:pPr algn="l" rtl="0">
            <a:defRPr sz="1000"/>
          </a:pPr>
          <a:r>
            <a:rPr lang="en-US" sz="900" b="0" i="0" u="none" strike="noStrike" baseline="0">
              <a:solidFill>
                <a:srgbClr val="000000"/>
              </a:solidFill>
              <a:latin typeface="Courier"/>
            </a:rPr>
            <a:t>                                                  Prob &gt; chi2     =     0.0000</a:t>
          </a:r>
        </a:p>
        <a:p>
          <a:pPr algn="l" rtl="0">
            <a:defRPr sz="1000"/>
          </a:pPr>
          <a:r>
            <a:rPr lang="en-US" sz="900" b="0" i="0" u="none" strike="noStrike" baseline="0">
              <a:solidFill>
                <a:srgbClr val="000000"/>
              </a:solidFill>
              <a:latin typeface="Courier"/>
            </a:rPr>
            <a:t>Log likelihood = -95.087239                       Pseudo R2       =     0.9996</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a:t>
          </a:r>
        </a:p>
        <a:p>
          <a:pPr algn="l" rtl="0">
            <a:defRPr sz="1000"/>
          </a:pPr>
          <a:r>
            <a:rPr lang="en-US" sz="900" b="0" i="0" u="none" strike="noStrike" baseline="0">
              <a:solidFill>
                <a:srgbClr val="000000"/>
              </a:solidFill>
              <a:latin typeface="Courier"/>
            </a:rPr>
            <a:t>       count |      Coef.   Std. Err.      z    P&gt;|z|     [95% Conf. Interval]</a:t>
          </a:r>
        </a:p>
        <a:p>
          <a:pPr algn="l" rtl="0">
            <a:defRPr sz="1000"/>
          </a:pPr>
          <a:r>
            <a:rPr lang="en-US" sz="900" b="0" i="0" u="none" strike="noStrike" baseline="0">
              <a:solidFill>
                <a:srgbClr val="000000"/>
              </a:solidFill>
              <a:latin typeface="Courier"/>
            </a:rPr>
            <a:t>-------------+----------------------------------------------------------------</a:t>
          </a:r>
        </a:p>
        <a:p>
          <a:pPr algn="l" rtl="0">
            <a:defRPr sz="1000"/>
          </a:pPr>
          <a:r>
            <a:rPr lang="en-US" sz="900" b="0" i="0" u="none" strike="noStrike" baseline="0">
              <a:solidFill>
                <a:srgbClr val="000000"/>
              </a:solidFill>
              <a:latin typeface="Courier"/>
            </a:rPr>
            <a:t>     _Ihed_2 |   .6184026   .0079339    77.94   0.000     .6028526    .6339527</a:t>
          </a:r>
        </a:p>
        <a:p>
          <a:pPr algn="l" rtl="0">
            <a:defRPr sz="1000"/>
          </a:pPr>
          <a:r>
            <a:rPr lang="en-US" sz="900" b="0" i="0" u="none" strike="noStrike" baseline="0">
              <a:solidFill>
                <a:srgbClr val="000000"/>
              </a:solidFill>
              <a:latin typeface="Courier"/>
            </a:rPr>
            <a:t>     _Ihed_3 |   .3297139   .0079418    41.52   0.000     .3141482    .3452795</a:t>
          </a:r>
        </a:p>
        <a:p>
          <a:pPr algn="l" rtl="0">
            <a:defRPr sz="1000"/>
          </a:pPr>
          <a:r>
            <a:rPr lang="en-US" sz="900" b="0" i="0" u="none" strike="noStrike" baseline="0">
              <a:solidFill>
                <a:srgbClr val="000000"/>
              </a:solidFill>
              <a:latin typeface="Courier"/>
            </a:rPr>
            <a:t>     _Ihed_4 |   .1496429   .0095396    15.69   0.000     .1309456    .1683401</a:t>
          </a:r>
        </a:p>
        <a:p>
          <a:pPr algn="l" rtl="0">
            <a:defRPr sz="1000"/>
          </a:pPr>
          <a:r>
            <a:rPr lang="en-US" sz="900" b="0" i="0" u="none" strike="noStrike" baseline="0">
              <a:solidFill>
                <a:srgbClr val="000000"/>
              </a:solidFill>
              <a:latin typeface="Courier"/>
            </a:rPr>
            <a:t>     _Iwed_2 |   .8333308   .0084964    98.08   0.000     .8166783    .8499834</a:t>
          </a:r>
        </a:p>
        <a:p>
          <a:pPr algn="l" rtl="0">
            <a:defRPr sz="1000"/>
          </a:pPr>
          <a:r>
            <a:rPr lang="en-US" sz="900" b="0" i="0" u="none" strike="noStrike" baseline="0">
              <a:solidFill>
                <a:srgbClr val="000000"/>
              </a:solidFill>
              <a:latin typeface="Courier"/>
            </a:rPr>
            <a:t>     _Iwed_3 |   .4839034   .0080883    59.83   0.000     .4680507    .4997562</a:t>
          </a:r>
        </a:p>
        <a:p>
          <a:pPr algn="l" rtl="0">
            <a:defRPr sz="1000"/>
          </a:pPr>
          <a:r>
            <a:rPr lang="en-US" sz="900" b="0" i="0" u="none" strike="noStrike" baseline="0">
              <a:solidFill>
                <a:srgbClr val="000000"/>
              </a:solidFill>
              <a:latin typeface="Courier"/>
            </a:rPr>
            <a:t>     _Iwed_4 |  -.1100959   .0109002   -10.10   0.000      -.13146   -.0887319</a:t>
          </a:r>
        </a:p>
        <a:p>
          <a:pPr algn="l" rtl="0">
            <a:defRPr sz="1000"/>
          </a:pPr>
          <a:r>
            <a:rPr lang="en-US" sz="900" b="0" i="0" u="none" strike="noStrike" baseline="0">
              <a:solidFill>
                <a:srgbClr val="000000"/>
              </a:solidFill>
              <a:latin typeface="Courier"/>
            </a:rPr>
            <a:t>_Iinterful~1 |   .7892963   .0113252    69.69   0.000     .7670992    .8114933</a:t>
          </a:r>
        </a:p>
        <a:p>
          <a:pPr algn="l" rtl="0">
            <a:defRPr sz="1000"/>
          </a:pPr>
          <a:r>
            <a:rPr lang="en-US" sz="900" b="0" i="0" u="none" strike="noStrike" baseline="0">
              <a:solidFill>
                <a:srgbClr val="000000"/>
              </a:solidFill>
              <a:latin typeface="Courier"/>
            </a:rPr>
            <a:t>_Iinterful~2 |   .7976817   .0079168   100.76   0.000     .7821652    .8131983</a:t>
          </a:r>
        </a:p>
        <a:p>
          <a:pPr algn="l" rtl="0">
            <a:defRPr sz="1000"/>
          </a:pPr>
          <a:r>
            <a:rPr lang="en-US" sz="900" b="0" i="0" u="none" strike="noStrike" baseline="0">
              <a:solidFill>
                <a:srgbClr val="000000"/>
              </a:solidFill>
              <a:latin typeface="Courier"/>
            </a:rPr>
            <a:t>_Iinterful~3 |   .6306406   .0091262    69.10   0.000     .6127536    .6485277</a:t>
          </a:r>
        </a:p>
        <a:p>
          <a:pPr algn="l" rtl="0">
            <a:defRPr sz="1000"/>
          </a:pPr>
          <a:r>
            <a:rPr lang="en-US" sz="900" b="0" i="0" u="none" strike="noStrike" baseline="0">
              <a:solidFill>
                <a:srgbClr val="000000"/>
              </a:solidFill>
              <a:latin typeface="Courier"/>
            </a:rPr>
            <a:t>_Iinterful~4 |   1.219722   .0111466   109.43   0.000     1.197875    1.241569</a:t>
          </a:r>
        </a:p>
        <a:p>
          <a:pPr algn="l" rtl="0">
            <a:defRPr sz="1000"/>
          </a:pPr>
          <a:r>
            <a:rPr lang="en-US" sz="900" b="0" i="0" u="none" strike="noStrike" baseline="0">
              <a:solidFill>
                <a:srgbClr val="000000"/>
              </a:solidFill>
              <a:latin typeface="Courier"/>
            </a:rPr>
            <a:t>     eddiff3 |  -2.578916    .033184   -77.72   0.000    -2.643956   -2.513877</a:t>
          </a:r>
        </a:p>
        <a:p>
          <a:pPr algn="l" rtl="0">
            <a:defRPr sz="1000"/>
          </a:pPr>
          <a:r>
            <a:rPr lang="en-US" sz="900" b="0" i="0" u="none" strike="noStrike" baseline="0">
              <a:solidFill>
                <a:srgbClr val="000000"/>
              </a:solidFill>
              <a:latin typeface="Courier"/>
            </a:rPr>
            <a:t>     eddiff2 |  -1.041738   .0072121  -144.44   0.000    -1.055873   -1.027602</a:t>
          </a:r>
        </a:p>
        <a:p>
          <a:pPr algn="l" rtl="0">
            <a:defRPr sz="1000"/>
          </a:pPr>
          <a:r>
            <a:rPr lang="en-US" sz="900" b="0" i="0" u="none" strike="noStrike" baseline="0">
              <a:solidFill>
                <a:srgbClr val="000000"/>
              </a:solidFill>
              <a:latin typeface="Courier"/>
            </a:rPr>
            <a:t>     ed1male |   .0470491   .0069631     6.76   0.000     .0334018    .0606965</a:t>
          </a:r>
        </a:p>
        <a:p>
          <a:pPr algn="l" rtl="0">
            <a:defRPr sz="1000"/>
          </a:pPr>
          <a:r>
            <a:rPr lang="en-US" sz="900" b="0" i="0" u="none" strike="noStrike" baseline="0">
              <a:solidFill>
                <a:srgbClr val="000000"/>
              </a:solidFill>
              <a:latin typeface="Courier"/>
            </a:rPr>
            <a:t>    eddiff3m |  -.2637956   .0479233    -5.50   0.000    -.3577234   -.1698677</a:t>
          </a:r>
        </a:p>
        <a:p>
          <a:pPr algn="l" rtl="0">
            <a:defRPr sz="1000"/>
          </a:pPr>
          <a:r>
            <a:rPr lang="en-US" sz="900" b="0" i="0" u="none" strike="noStrike" baseline="0">
              <a:solidFill>
                <a:srgbClr val="000000"/>
              </a:solidFill>
              <a:latin typeface="Courier"/>
            </a:rPr>
            <a:t>       _cons |   9.584695   .0098502   973.04   0.000     9.565389    9.604001</a:t>
          </a:r>
        </a:p>
        <a:p>
          <a:pPr algn="l" rtl="0">
            <a:defRPr sz="1000"/>
          </a:pPr>
          <a:r>
            <a:rPr lang="en-US" sz="900" b="0" i="0" u="none" strike="noStrike" baseline="0">
              <a:solidFill>
                <a:srgbClr val="000000"/>
              </a:solidFill>
              <a:latin typeface="Courier"/>
            </a:rPr>
            <a:t>------------------------------------------------------------------------------</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 poisgof</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         Goodness-of-fit chi2  =  4.174479</a:t>
          </a:r>
        </a:p>
        <a:p>
          <a:pPr algn="l" rtl="0">
            <a:defRPr sz="1000"/>
          </a:pPr>
          <a:r>
            <a:rPr lang="en-US" sz="900" b="0" i="0" u="none" strike="noStrike" baseline="0">
              <a:solidFill>
                <a:srgbClr val="000000"/>
              </a:solidFill>
              <a:latin typeface="Courier"/>
            </a:rPr>
            <a:t>         Prob &gt; chi2(1)        =    0.0410</a:t>
          </a:r>
          <a:endParaRPr lang="en-US" sz="900" b="0" i="0" u="none" strike="noStrike" baseline="0">
            <a:solidFill>
              <a:srgbClr val="000000"/>
            </a:solidFill>
            <a:latin typeface="Courier New"/>
            <a:cs typeface="Courier New"/>
          </a:endParaRPr>
        </a:p>
        <a:p>
          <a:pPr algn="l" rtl="0">
            <a:defRPr sz="1000"/>
          </a:pPr>
          <a:endParaRPr lang="en-US" sz="900" b="0" i="0" u="none" strike="noStrike" baseline="0">
            <a:solidFill>
              <a:srgbClr val="000000"/>
            </a:solidFill>
            <a:latin typeface="Geneva"/>
          </a:endParaRPr>
        </a:p>
        <a:p>
          <a:pPr algn="l" rtl="0">
            <a:defRPr sz="1000"/>
          </a:pPr>
          <a:endParaRPr lang="en-US" sz="900" b="0" i="0" u="none" strike="noStrike" baseline="0">
            <a:solidFill>
              <a:srgbClr val="000000"/>
            </a:solidFill>
            <a:latin typeface="Geneva"/>
          </a:endParaRPr>
        </a:p>
      </xdr:txBody>
    </xdr:sp>
    <xdr:clientData/>
  </xdr:twoCellAnchor>
  <xdr:twoCellAnchor>
    <xdr:from>
      <xdr:col>0</xdr:col>
      <xdr:colOff>428625</xdr:colOff>
      <xdr:row>52</xdr:row>
      <xdr:rowOff>9525</xdr:rowOff>
    </xdr:from>
    <xdr:to>
      <xdr:col>8</xdr:col>
      <xdr:colOff>447675</xdr:colOff>
      <xdr:row>81</xdr:row>
      <xdr:rowOff>142875</xdr:rowOff>
    </xdr:to>
    <xdr:graphicFrame macro="">
      <xdr:nvGraphicFramePr>
        <xdr:cNvPr id="3074"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0</xdr:colOff>
      <xdr:row>52</xdr:row>
      <xdr:rowOff>0</xdr:rowOff>
    </xdr:from>
    <xdr:to>
      <xdr:col>18</xdr:col>
      <xdr:colOff>228600</xdr:colOff>
      <xdr:row>81</xdr:row>
      <xdr:rowOff>123825</xdr:rowOff>
    </xdr:to>
    <xdr:graphicFrame macro="">
      <xdr:nvGraphicFramePr>
        <xdr:cNvPr id="3075"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38100</xdr:colOff>
      <xdr:row>21</xdr:row>
      <xdr:rowOff>123825</xdr:rowOff>
    </xdr:from>
    <xdr:to>
      <xdr:col>4</xdr:col>
      <xdr:colOff>238125</xdr:colOff>
      <xdr:row>33</xdr:row>
      <xdr:rowOff>95250</xdr:rowOff>
    </xdr:to>
    <xdr:sp macro="" textlink="">
      <xdr:nvSpPr>
        <xdr:cNvPr id="3076" name="Text Box 4"/>
        <xdr:cNvSpPr txBox="1">
          <a:spLocks noChangeArrowheads="1"/>
        </xdr:cNvSpPr>
      </xdr:nvSpPr>
      <xdr:spPr bwMode="auto">
        <a:xfrm>
          <a:off x="628650" y="3324225"/>
          <a:ext cx="3248025" cy="180022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Geneva"/>
            </a:rPr>
            <a:t>For men with college educations, the odds of marrying a woman with less than high school education are much lower than the odds of endogamy:</a:t>
          </a:r>
        </a:p>
        <a:p>
          <a:pPr algn="l" rtl="0">
            <a:defRPr sz="1000"/>
          </a:pPr>
          <a:r>
            <a:rPr lang="en-US" sz="900" b="0" i="0" u="none" strike="noStrike" baseline="0">
              <a:solidFill>
                <a:srgbClr val="000000"/>
              </a:solidFill>
              <a:latin typeface="Geneva"/>
            </a:rPr>
            <a:t>exp(1.22-(2.843))=58.  The odds of educational endogamy for men with college degrees are 58 times higher than the odds of marrying a woman with less than high school degree.</a:t>
          </a:r>
        </a:p>
        <a:p>
          <a:pPr algn="l" rtl="0">
            <a:defRPr sz="1000"/>
          </a:pPr>
          <a:r>
            <a:rPr lang="en-US" sz="900" b="0" i="0" u="none" strike="noStrike" baseline="0">
              <a:solidFill>
                <a:srgbClr val="000000"/>
              </a:solidFill>
              <a:latin typeface="Geneva"/>
            </a:rPr>
            <a:t>In order to test whether this difference is statistically significant, the formal thing to do is go back to STATA, re-estimate the model, and then </a:t>
          </a:r>
        </a:p>
        <a:p>
          <a:pPr algn="l" rtl="0">
            <a:defRPr sz="1000"/>
          </a:pPr>
          <a:r>
            <a:rPr lang="en-US" sz="900" b="0" i="0" u="none" strike="noStrike" baseline="0">
              <a:solidFill>
                <a:srgbClr val="000000"/>
              </a:solidFill>
              <a:latin typeface="Geneva"/>
            </a:rPr>
            <a:t>test _Iinterful4- eddiff3-ediff3m=0</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542925</xdr:colOff>
      <xdr:row>128</xdr:row>
      <xdr:rowOff>57150</xdr:rowOff>
    </xdr:from>
    <xdr:to>
      <xdr:col>9</xdr:col>
      <xdr:colOff>581025</xdr:colOff>
      <xdr:row>267</xdr:row>
      <xdr:rowOff>114300</xdr:rowOff>
    </xdr:to>
    <xdr:sp macro="" textlink="">
      <xdr:nvSpPr>
        <xdr:cNvPr id="9217" name="Text Box 1"/>
        <xdr:cNvSpPr txBox="1">
          <a:spLocks noChangeArrowheads="1"/>
        </xdr:cNvSpPr>
      </xdr:nvSpPr>
      <xdr:spPr bwMode="auto">
        <a:xfrm>
          <a:off x="542925" y="19564350"/>
          <a:ext cx="5524500" cy="2124075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800" b="0" i="0" u="none" strike="noStrike" baseline="0">
              <a:solidFill>
                <a:srgbClr val="000000"/>
              </a:solidFill>
              <a:latin typeface="Courier New"/>
              <a:cs typeface="Courier New"/>
            </a:rPr>
            <a:t>The model that produces all the coefficients is reproduced here, just expand this text window down.. See also my Soc 388 class files, log for HW3 best fitting model.  This is the model that is described in the answers to HW3 as Model 8.</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Here's one model that fits not too badly by LRT (see my log for a more extended discussion):</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meth*year*mgen*fgen, meth*year*mgen*fgen, ethintct*year*fgen*mgen, QS*year, QS*mgen, QS*fgen, BohS*fgen, BWS*year</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Note: QS here is the full set of 5 off-diagonal, symmetric ethnic interactions (including BW and MOh, see log), and BohS is the sex- specific interaction between Black men and Other Hispanic women, and BWS is the sex specific interaction between Black men and White women.</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We're interested in the interactions for ethintct and QS by year and generation.</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1" i="0" u="none" strike="noStrike" baseline="0">
              <a:solidFill>
                <a:srgbClr val="000000"/>
              </a:solidFill>
              <a:latin typeface="Courier New"/>
              <a:cs typeface="Courier New"/>
            </a:rPr>
            <a:t>desmat year*meth*mgen*fgen year*feth*fgen*mgen  ethintct*year*fgen*mgen QS BOhS BWS QS*year QS*mgen QS*fgen BOhS*fgen BWS*year</a:t>
          </a:r>
        </a:p>
        <a:p>
          <a:pPr algn="l" rtl="0">
            <a:defRPr sz="1000"/>
          </a:pPr>
          <a:endParaRPr lang="en-US" sz="800" b="1" i="0" u="none" strike="noStrike" baseline="0">
            <a:solidFill>
              <a:srgbClr val="000000"/>
            </a:solidFill>
            <a:latin typeface="Courier New"/>
            <a:cs typeface="Courier New"/>
          </a:endParaRPr>
        </a:p>
        <a:p>
          <a:pPr algn="l" rtl="0">
            <a:defRPr sz="1000"/>
          </a:pPr>
          <a:r>
            <a:rPr lang="en-US" sz="800" b="1" i="0" u="none" strike="noStrike" baseline="0">
              <a:solidFill>
                <a:srgbClr val="000000"/>
              </a:solidFill>
              <a:latin typeface="Courier New"/>
              <a:cs typeface="Courier New"/>
            </a:rPr>
            <a:t>poisson count _x*, difficult</a:t>
          </a:r>
        </a:p>
        <a:p>
          <a:pPr algn="l" rtl="0">
            <a:defRPr sz="1000"/>
          </a:pPr>
          <a:endParaRPr lang="en-US" sz="800" b="1" i="0" u="none" strike="noStrike" baseline="0">
            <a:solidFill>
              <a:srgbClr val="000000"/>
            </a:solidFill>
            <a:latin typeface="Courier New"/>
            <a:cs typeface="Courier New"/>
          </a:endParaRPr>
        </a:p>
        <a:p>
          <a:pPr algn="l" rtl="0">
            <a:defRPr sz="1000"/>
          </a:pPr>
          <a:endParaRPr lang="en-US" sz="800" b="1" i="0" u="none" strike="noStrike" baseline="0">
            <a:solidFill>
              <a:srgbClr val="000000"/>
            </a:solidFill>
            <a:latin typeface="Courier New"/>
            <a:cs typeface="Courier New"/>
          </a:endParaRPr>
        </a:p>
        <a:p>
          <a:pPr algn="l" rtl="0">
            <a:defRPr sz="1000"/>
          </a:pPr>
          <a:r>
            <a:rPr lang="en-US" sz="800" b="1" i="0" u="none" strike="noStrike" baseline="0">
              <a:solidFill>
                <a:srgbClr val="000000"/>
              </a:solidFill>
              <a:latin typeface="Courier New"/>
              <a:cs typeface="Courier New"/>
            </a:rPr>
            <a:t>---------------------------------------------------------------------------</a:t>
          </a:r>
        </a:p>
        <a:p>
          <a:pPr algn="l" rtl="0">
            <a:defRPr sz="1000"/>
          </a:pPr>
          <a:r>
            <a:rPr lang="en-US" sz="800" b="1" i="0" u="none" strike="noStrike" baseline="0">
              <a:solidFill>
                <a:srgbClr val="000000"/>
              </a:solidFill>
              <a:latin typeface="Courier New"/>
              <a:cs typeface="Courier New"/>
            </a:rPr>
            <a:t>   Poisson regression</a:t>
          </a:r>
        </a:p>
        <a:p>
          <a:pPr algn="l" rtl="0">
            <a:defRPr sz="1000"/>
          </a:pPr>
          <a:r>
            <a:rPr lang="en-US" sz="800" b="1" i="0" u="none" strike="noStrike" baseline="0">
              <a:solidFill>
                <a:srgbClr val="000000"/>
              </a:solidFill>
              <a:latin typeface="Courier New"/>
              <a:cs typeface="Courier New"/>
            </a:rPr>
            <a:t>---------------------------------------------------------------------------</a:t>
          </a:r>
        </a:p>
        <a:p>
          <a:pPr algn="l" rtl="0">
            <a:defRPr sz="1000"/>
          </a:pPr>
          <a:r>
            <a:rPr lang="en-US" sz="800" b="1" i="0" u="none" strike="noStrike" baseline="0">
              <a:solidFill>
                <a:srgbClr val="000000"/>
              </a:solidFill>
              <a:latin typeface="Courier New"/>
              <a:cs typeface="Courier New"/>
            </a:rPr>
            <a:t>   Dependent variable                                                count</a:t>
          </a:r>
        </a:p>
        <a:p>
          <a:pPr algn="l" rtl="0">
            <a:defRPr sz="1000"/>
          </a:pPr>
          <a:r>
            <a:rPr lang="en-US" sz="800" b="1" i="0" u="none" strike="noStrike" baseline="0">
              <a:solidFill>
                <a:srgbClr val="000000"/>
              </a:solidFill>
              <a:latin typeface="Courier New"/>
              <a:cs typeface="Courier New"/>
            </a:rPr>
            <a:t>   Optimization:                                                        ml</a:t>
          </a:r>
        </a:p>
        <a:p>
          <a:pPr algn="l" rtl="0">
            <a:defRPr sz="1000"/>
          </a:pPr>
          <a:r>
            <a:rPr lang="en-US" sz="800" b="1" i="0" u="none" strike="noStrike" baseline="0">
              <a:solidFill>
                <a:srgbClr val="000000"/>
              </a:solidFill>
              <a:latin typeface="Courier New"/>
              <a:cs typeface="Courier New"/>
            </a:rPr>
            <a:t>   Number of observations:                                             225</a:t>
          </a:r>
        </a:p>
        <a:p>
          <a:pPr algn="l" rtl="0">
            <a:defRPr sz="1000"/>
          </a:pPr>
          <a:r>
            <a:rPr lang="en-US" sz="800" b="1" i="0" u="none" strike="noStrike" baseline="0">
              <a:solidFill>
                <a:srgbClr val="000000"/>
              </a:solidFill>
              <a:latin typeface="Courier New"/>
              <a:cs typeface="Courier New"/>
            </a:rPr>
            <a:t>   Initial log likelihood:                                    -2252613.647</a:t>
          </a:r>
        </a:p>
        <a:p>
          <a:pPr algn="l" rtl="0">
            <a:defRPr sz="1000"/>
          </a:pPr>
          <a:r>
            <a:rPr lang="en-US" sz="800" b="1" i="0" u="none" strike="noStrike" baseline="0">
              <a:solidFill>
                <a:srgbClr val="000000"/>
              </a:solidFill>
              <a:latin typeface="Courier New"/>
              <a:cs typeface="Courier New"/>
            </a:rPr>
            <a:t>   Log likelihood:                                                -719.657</a:t>
          </a:r>
        </a:p>
        <a:p>
          <a:pPr algn="l" rtl="0">
            <a:defRPr sz="1000"/>
          </a:pPr>
          <a:r>
            <a:rPr lang="en-US" sz="800" b="1" i="0" u="none" strike="noStrike" baseline="0">
              <a:solidFill>
                <a:srgbClr val="000000"/>
              </a:solidFill>
              <a:latin typeface="Courier New"/>
              <a:cs typeface="Courier New"/>
            </a:rPr>
            <a:t>   LR chi square:                                              4503787.980</a:t>
          </a:r>
        </a:p>
        <a:p>
          <a:pPr algn="l" rtl="0">
            <a:defRPr sz="1000"/>
          </a:pPr>
          <a:r>
            <a:rPr lang="en-US" sz="800" b="1" i="0" u="none" strike="noStrike" baseline="0">
              <a:solidFill>
                <a:srgbClr val="000000"/>
              </a:solidFill>
              <a:latin typeface="Courier New"/>
              <a:cs typeface="Courier New"/>
            </a:rPr>
            <a:t>   Model degrees of freedom:                                           155</a:t>
          </a:r>
        </a:p>
        <a:p>
          <a:pPr algn="l" rtl="0">
            <a:defRPr sz="1000"/>
          </a:pPr>
          <a:r>
            <a:rPr lang="en-US" sz="800" b="1" i="0" u="none" strike="noStrike" baseline="0">
              <a:solidFill>
                <a:srgbClr val="000000"/>
              </a:solidFill>
              <a:latin typeface="Courier New"/>
              <a:cs typeface="Courier New"/>
            </a:rPr>
            <a:t>   Pseudo R-squared:                                                 1.000</a:t>
          </a:r>
        </a:p>
        <a:p>
          <a:pPr algn="l" rtl="0">
            <a:defRPr sz="1000"/>
          </a:pPr>
          <a:r>
            <a:rPr lang="en-US" sz="800" b="1" i="0" u="none" strike="noStrike" baseline="0">
              <a:solidFill>
                <a:srgbClr val="000000"/>
              </a:solidFill>
              <a:latin typeface="Courier New"/>
              <a:cs typeface="Courier New"/>
            </a:rPr>
            <a:t>   Prob:                                                             0.000</a:t>
          </a:r>
        </a:p>
        <a:p>
          <a:pPr algn="l" rtl="0">
            <a:defRPr sz="1000"/>
          </a:pPr>
          <a:r>
            <a:rPr lang="en-US" sz="800" b="1" i="0" u="none" strike="noStrike" baseline="0">
              <a:solidFill>
                <a:srgbClr val="000000"/>
              </a:solidFill>
              <a:latin typeface="Courier New"/>
              <a:cs typeface="Courier New"/>
            </a:rPr>
            <a:t>---------------------------------------------------------------------------</a:t>
          </a:r>
        </a:p>
        <a:p>
          <a:pPr algn="l" rtl="0">
            <a:defRPr sz="1000"/>
          </a:pPr>
          <a:r>
            <a:rPr lang="en-US" sz="800" b="1" i="0" u="none" strike="noStrike" baseline="0">
              <a:solidFill>
                <a:srgbClr val="000000"/>
              </a:solidFill>
              <a:latin typeface="Courier New"/>
              <a:cs typeface="Courier New"/>
            </a:rPr>
            <a:t>nr Effect                                                Coeff        s.e.</a:t>
          </a:r>
        </a:p>
        <a:p>
          <a:pPr algn="l" rtl="0">
            <a:defRPr sz="1000"/>
          </a:pPr>
          <a:r>
            <a:rPr lang="en-US" sz="800" b="1" i="0" u="none" strike="noStrike" baseline="0">
              <a:solidFill>
                <a:srgbClr val="000000"/>
              </a:solidFill>
              <a:latin typeface="Courier New"/>
              <a:cs typeface="Courier New"/>
            </a:rPr>
            <a:t>---------------------------------------------------------------------------</a:t>
          </a:r>
        </a:p>
        <a:p>
          <a:pPr algn="l" rtl="0">
            <a:defRPr sz="1000"/>
          </a:pPr>
          <a:r>
            <a:rPr lang="en-US" sz="800" b="1" i="0" u="none" strike="noStrike" baseline="0">
              <a:solidFill>
                <a:srgbClr val="000000"/>
              </a:solidFill>
              <a:latin typeface="Courier New"/>
              <a:cs typeface="Courier New"/>
            </a:rPr>
            <a:t>....</a:t>
          </a:r>
        </a:p>
        <a:p>
          <a:pPr algn="l" rtl="0">
            <a:defRPr sz="1000"/>
          </a:pPr>
          <a:r>
            <a:rPr lang="en-US" sz="800" b="1" i="0" u="none" strike="noStrike" baseline="0">
              <a:solidFill>
                <a:srgbClr val="000000"/>
              </a:solidFill>
              <a:latin typeface="Courier New"/>
              <a:cs typeface="Courier New"/>
            </a:rPr>
            <a:t>..First 80 background terms (year*meth*mgen*fgen and year*feth*fgen*mgen)</a:t>
          </a:r>
        </a:p>
        <a:p>
          <a:pPr algn="l" rtl="0">
            <a:defRPr sz="1000"/>
          </a:pPr>
          <a:r>
            <a:rPr lang="en-US" sz="800" b="1" i="0" u="none" strike="noStrike" baseline="0">
              <a:solidFill>
                <a:srgbClr val="000000"/>
              </a:solidFill>
              <a:latin typeface="Courier New"/>
              <a:cs typeface="Courier New"/>
            </a:rPr>
            <a:t>dropped from the list here</a:t>
          </a:r>
        </a:p>
        <a:p>
          <a:pPr algn="l" rtl="0">
            <a:defRPr sz="1000"/>
          </a:pPr>
          <a:r>
            <a:rPr lang="en-US" sz="800" b="1" i="0" u="none" strike="noStrike" baseline="0">
              <a:solidFill>
                <a:srgbClr val="000000"/>
              </a:solidFill>
              <a:latin typeface="Courier New"/>
              <a:cs typeface="Courier New"/>
            </a:rPr>
            <a:t>........</a:t>
          </a:r>
        </a:p>
        <a:p>
          <a:pPr algn="l" rtl="0">
            <a:defRPr sz="1000"/>
          </a:pPr>
          <a:r>
            <a:rPr lang="en-US" sz="800" b="1" i="0" u="none" strike="noStrike" baseline="0">
              <a:solidFill>
                <a:srgbClr val="000000"/>
              </a:solidFill>
              <a:latin typeface="Courier New"/>
              <a:cs typeface="Courier New"/>
            </a:rPr>
            <a:t>     ethintct</a:t>
          </a:r>
        </a:p>
        <a:p>
          <a:pPr algn="l" rtl="0">
            <a:defRPr sz="1000"/>
          </a:pPr>
          <a:r>
            <a:rPr lang="en-US" sz="800" b="1" i="0" u="none" strike="noStrike" baseline="0">
              <a:solidFill>
                <a:srgbClr val="000000"/>
              </a:solidFill>
              <a:latin typeface="Courier New"/>
              <a:cs typeface="Courier New"/>
            </a:rPr>
            <a:t>81     1                                                 3.031**     0.897</a:t>
          </a:r>
        </a:p>
        <a:p>
          <a:pPr algn="l" rtl="0">
            <a:defRPr sz="1000"/>
          </a:pPr>
          <a:r>
            <a:rPr lang="en-US" sz="800" b="1" i="0" u="none" strike="noStrike" baseline="0">
              <a:solidFill>
                <a:srgbClr val="000000"/>
              </a:solidFill>
              <a:latin typeface="Courier New"/>
              <a:cs typeface="Courier New"/>
            </a:rPr>
            <a:t>82     2                                                 2.433**     0.729</a:t>
          </a:r>
        </a:p>
        <a:p>
          <a:pPr algn="l" rtl="0">
            <a:defRPr sz="1000"/>
          </a:pPr>
          <a:r>
            <a:rPr lang="en-US" sz="800" b="1" i="0" u="none" strike="noStrike" baseline="0">
              <a:solidFill>
                <a:srgbClr val="000000"/>
              </a:solidFill>
              <a:latin typeface="Courier New"/>
              <a:cs typeface="Courier New"/>
            </a:rPr>
            <a:t>83     3                                                -3.083**     0.768</a:t>
          </a:r>
        </a:p>
        <a:p>
          <a:pPr algn="l" rtl="0">
            <a:defRPr sz="1000"/>
          </a:pPr>
          <a:r>
            <a:rPr lang="en-US" sz="800" b="1" i="0" u="none" strike="noStrike" baseline="0">
              <a:solidFill>
                <a:srgbClr val="000000"/>
              </a:solidFill>
              <a:latin typeface="Courier New"/>
              <a:cs typeface="Courier New"/>
            </a:rPr>
            <a:t>84     5                                                 3.492**     0.573</a:t>
          </a:r>
        </a:p>
        <a:p>
          <a:pPr algn="l" rtl="0">
            <a:defRPr sz="1000"/>
          </a:pPr>
          <a:r>
            <a:rPr lang="en-US" sz="800" b="1" i="0" u="none" strike="noStrike" baseline="0">
              <a:solidFill>
                <a:srgbClr val="000000"/>
              </a:solidFill>
              <a:latin typeface="Courier New"/>
              <a:cs typeface="Courier New"/>
            </a:rPr>
            <a:t>     ethintct.year</a:t>
          </a:r>
        </a:p>
        <a:p>
          <a:pPr algn="l" rtl="0">
            <a:defRPr sz="1000"/>
          </a:pPr>
          <a:r>
            <a:rPr lang="en-US" sz="800" b="1" i="0" u="none" strike="noStrike" baseline="0">
              <a:solidFill>
                <a:srgbClr val="000000"/>
              </a:solidFill>
              <a:latin typeface="Courier New"/>
              <a:cs typeface="Courier New"/>
            </a:rPr>
            <a:t>85     1.80                                              1.195       1.089</a:t>
          </a:r>
        </a:p>
        <a:p>
          <a:pPr algn="l" rtl="0">
            <a:defRPr sz="1000"/>
          </a:pPr>
          <a:r>
            <a:rPr lang="en-US" sz="800" b="1" i="0" u="none" strike="noStrike" baseline="0">
              <a:solidFill>
                <a:srgbClr val="000000"/>
              </a:solidFill>
              <a:latin typeface="Courier New"/>
              <a:cs typeface="Courier New"/>
            </a:rPr>
            <a:t>86     1.90                                             -0.817       0.891</a:t>
          </a:r>
        </a:p>
        <a:p>
          <a:pPr algn="l" rtl="0">
            <a:defRPr sz="1000"/>
          </a:pPr>
          <a:r>
            <a:rPr lang="en-US" sz="800" b="1" i="0" u="none" strike="noStrike" baseline="0">
              <a:solidFill>
                <a:srgbClr val="000000"/>
              </a:solidFill>
              <a:latin typeface="Courier New"/>
              <a:cs typeface="Courier New"/>
            </a:rPr>
            <a:t>87     2.90                                              0.028       0.518</a:t>
          </a:r>
        </a:p>
        <a:p>
          <a:pPr algn="l" rtl="0">
            <a:defRPr sz="1000"/>
          </a:pPr>
          <a:r>
            <a:rPr lang="en-US" sz="800" b="1" i="0" u="none" strike="noStrike" baseline="0">
              <a:solidFill>
                <a:srgbClr val="000000"/>
              </a:solidFill>
              <a:latin typeface="Courier New"/>
              <a:cs typeface="Courier New"/>
            </a:rPr>
            <a:t>88     3.80                                              1.327*      0.524</a:t>
          </a:r>
        </a:p>
        <a:p>
          <a:pPr algn="l" rtl="0">
            <a:defRPr sz="1000"/>
          </a:pPr>
          <a:r>
            <a:rPr lang="en-US" sz="800" b="1" i="0" u="none" strike="noStrike" baseline="0">
              <a:solidFill>
                <a:srgbClr val="000000"/>
              </a:solidFill>
              <a:latin typeface="Courier New"/>
              <a:cs typeface="Courier New"/>
            </a:rPr>
            <a:t>89     3.90                                              3.894**     0.696</a:t>
          </a:r>
        </a:p>
        <a:p>
          <a:pPr algn="l" rtl="0">
            <a:defRPr sz="1000"/>
          </a:pPr>
          <a:r>
            <a:rPr lang="en-US" sz="800" b="1" i="0" u="none" strike="noStrike" baseline="0">
              <a:solidFill>
                <a:srgbClr val="000000"/>
              </a:solidFill>
              <a:latin typeface="Courier New"/>
              <a:cs typeface="Courier New"/>
            </a:rPr>
            <a:t>90     4.80                                             -1.211       0.686</a:t>
          </a:r>
        </a:p>
        <a:p>
          <a:pPr algn="l" rtl="0">
            <a:defRPr sz="1000"/>
          </a:pPr>
          <a:r>
            <a:rPr lang="en-US" sz="800" b="1" i="0" u="none" strike="noStrike" baseline="0">
              <a:solidFill>
                <a:srgbClr val="000000"/>
              </a:solidFill>
              <a:latin typeface="Courier New"/>
              <a:cs typeface="Courier New"/>
            </a:rPr>
            <a:t>91     4.90                                             -0.948       0.686</a:t>
          </a:r>
        </a:p>
        <a:p>
          <a:pPr algn="l" rtl="0">
            <a:defRPr sz="1000"/>
          </a:pPr>
          <a:r>
            <a:rPr lang="en-US" sz="800" b="1" i="0" u="none" strike="noStrike" baseline="0">
              <a:solidFill>
                <a:srgbClr val="000000"/>
              </a:solidFill>
              <a:latin typeface="Courier New"/>
              <a:cs typeface="Courier New"/>
            </a:rPr>
            <a:t>92     5.80                                             -0.614       0.489</a:t>
          </a:r>
        </a:p>
        <a:p>
          <a:pPr algn="l" rtl="0">
            <a:defRPr sz="1000"/>
          </a:pPr>
          <a:r>
            <a:rPr lang="en-US" sz="800" b="1" i="0" u="none" strike="noStrike" baseline="0">
              <a:solidFill>
                <a:srgbClr val="000000"/>
              </a:solidFill>
              <a:latin typeface="Courier New"/>
              <a:cs typeface="Courier New"/>
            </a:rPr>
            <a:t>93     5.90                                              0.190       0.598</a:t>
          </a:r>
        </a:p>
        <a:p>
          <a:pPr algn="l" rtl="0">
            <a:defRPr sz="1000"/>
          </a:pPr>
          <a:r>
            <a:rPr lang="en-US" sz="800" b="1" i="0" u="none" strike="noStrike" baseline="0">
              <a:solidFill>
                <a:srgbClr val="000000"/>
              </a:solidFill>
              <a:latin typeface="Courier New"/>
              <a:cs typeface="Courier New"/>
            </a:rPr>
            <a:t>     ethintct.fgen</a:t>
          </a:r>
        </a:p>
        <a:p>
          <a:pPr algn="l" rtl="0">
            <a:defRPr sz="1000"/>
          </a:pPr>
          <a:r>
            <a:rPr lang="en-US" sz="800" b="1" i="0" u="none" strike="noStrike" baseline="0">
              <a:solidFill>
                <a:srgbClr val="000000"/>
              </a:solidFill>
              <a:latin typeface="Courier New"/>
              <a:cs typeface="Courier New"/>
            </a:rPr>
            <a:t>94     1.US native                                       0.622       1.043</a:t>
          </a:r>
        </a:p>
        <a:p>
          <a:pPr algn="l" rtl="0">
            <a:defRPr sz="1000"/>
          </a:pPr>
          <a:r>
            <a:rPr lang="en-US" sz="800" b="1" i="0" u="none" strike="noStrike" baseline="0">
              <a:solidFill>
                <a:srgbClr val="000000"/>
              </a:solidFill>
              <a:latin typeface="Courier New"/>
              <a:cs typeface="Courier New"/>
            </a:rPr>
            <a:t>95     2.US native                                       0.149       0.493</a:t>
          </a:r>
        </a:p>
        <a:p>
          <a:pPr algn="l" rtl="0">
            <a:defRPr sz="1000"/>
          </a:pPr>
          <a:r>
            <a:rPr lang="en-US" sz="800" b="1" i="0" u="none" strike="noStrike" baseline="0">
              <a:solidFill>
                <a:srgbClr val="000000"/>
              </a:solidFill>
              <a:latin typeface="Courier New"/>
              <a:cs typeface="Courier New"/>
            </a:rPr>
            <a:t>96     3.US native                                       3.504**     0.536</a:t>
          </a:r>
        </a:p>
        <a:p>
          <a:pPr algn="l" rtl="0">
            <a:defRPr sz="1000"/>
          </a:pPr>
          <a:r>
            <a:rPr lang="en-US" sz="800" b="1" i="0" u="none" strike="noStrike" baseline="0">
              <a:solidFill>
                <a:srgbClr val="000000"/>
              </a:solidFill>
              <a:latin typeface="Courier New"/>
              <a:cs typeface="Courier New"/>
            </a:rPr>
            <a:t>97     4.US native                                       3.722**     0.665</a:t>
          </a:r>
        </a:p>
        <a:p>
          <a:pPr algn="l" rtl="0">
            <a:defRPr sz="1000"/>
          </a:pPr>
          <a:r>
            <a:rPr lang="en-US" sz="800" b="1" i="0" u="none" strike="noStrike" baseline="0">
              <a:solidFill>
                <a:srgbClr val="000000"/>
              </a:solidFill>
              <a:latin typeface="Courier New"/>
              <a:cs typeface="Courier New"/>
            </a:rPr>
            <a:t>98     5.US native                                      -0.402       0.552</a:t>
          </a:r>
        </a:p>
        <a:p>
          <a:pPr algn="l" rtl="0">
            <a:defRPr sz="1000"/>
          </a:pPr>
          <a:r>
            <a:rPr lang="en-US" sz="800" b="1" i="0" u="none" strike="noStrike" baseline="0">
              <a:solidFill>
                <a:srgbClr val="000000"/>
              </a:solidFill>
              <a:latin typeface="Courier New"/>
              <a:cs typeface="Courier New"/>
            </a:rPr>
            <a:t>     ethintct.year.fgen</a:t>
          </a:r>
        </a:p>
        <a:p>
          <a:pPr algn="l" rtl="0">
            <a:defRPr sz="1000"/>
          </a:pPr>
          <a:r>
            <a:rPr lang="en-US" sz="800" b="1" i="0" u="none" strike="noStrike" baseline="0">
              <a:solidFill>
                <a:srgbClr val="000000"/>
              </a:solidFill>
              <a:latin typeface="Courier New"/>
              <a:cs typeface="Courier New"/>
            </a:rPr>
            <a:t>99     1.80.US native                                   -0.665       0.863</a:t>
          </a:r>
        </a:p>
        <a:p>
          <a:pPr algn="l" rtl="0">
            <a:defRPr sz="1000"/>
          </a:pPr>
          <a:r>
            <a:rPr lang="en-US" sz="800" b="1" i="0" u="none" strike="noStrike" baseline="0">
              <a:solidFill>
                <a:srgbClr val="000000"/>
              </a:solidFill>
              <a:latin typeface="Courier New"/>
              <a:cs typeface="Courier New"/>
            </a:rPr>
            <a:t>100    1.90.US native                                    1.120       1.027</a:t>
          </a:r>
        </a:p>
        <a:p>
          <a:pPr algn="l" rtl="0">
            <a:defRPr sz="1000"/>
          </a:pPr>
          <a:r>
            <a:rPr lang="en-US" sz="800" b="1" i="0" u="none" strike="noStrike" baseline="0">
              <a:solidFill>
                <a:srgbClr val="000000"/>
              </a:solidFill>
              <a:latin typeface="Courier New"/>
              <a:cs typeface="Courier New"/>
            </a:rPr>
            <a:t>101    2.80.US native                                    0.301       0.513</a:t>
          </a:r>
        </a:p>
        <a:p>
          <a:pPr algn="l" rtl="0">
            <a:defRPr sz="1000"/>
          </a:pPr>
          <a:r>
            <a:rPr lang="en-US" sz="800" b="1" i="0" u="none" strike="noStrike" baseline="0">
              <a:solidFill>
                <a:srgbClr val="000000"/>
              </a:solidFill>
              <a:latin typeface="Courier New"/>
              <a:cs typeface="Courier New"/>
            </a:rPr>
            <a:t>102    2.90.US native                                   -0.253       0.496</a:t>
          </a:r>
        </a:p>
        <a:p>
          <a:pPr algn="l" rtl="0">
            <a:defRPr sz="1000"/>
          </a:pPr>
          <a:r>
            <a:rPr lang="en-US" sz="800" b="1" i="0" u="none" strike="noStrike" baseline="0">
              <a:solidFill>
                <a:srgbClr val="000000"/>
              </a:solidFill>
              <a:latin typeface="Courier New"/>
              <a:cs typeface="Courier New"/>
            </a:rPr>
            <a:t>103    3.90.US native                                   -2.872**     0.442</a:t>
          </a:r>
        </a:p>
        <a:p>
          <a:pPr algn="l" rtl="0">
            <a:defRPr sz="1000"/>
          </a:pPr>
          <a:r>
            <a:rPr lang="en-US" sz="800" b="1" i="0" u="none" strike="noStrike" baseline="0">
              <a:solidFill>
                <a:srgbClr val="000000"/>
              </a:solidFill>
              <a:latin typeface="Courier New"/>
              <a:cs typeface="Courier New"/>
            </a:rPr>
            <a:t>104    4.80.US native                                   -0.438       0.809</a:t>
          </a:r>
        </a:p>
        <a:p>
          <a:pPr algn="l" rtl="0">
            <a:defRPr sz="1000"/>
          </a:pPr>
          <a:r>
            <a:rPr lang="en-US" sz="800" b="1" i="0" u="none" strike="noStrike" baseline="0">
              <a:solidFill>
                <a:srgbClr val="000000"/>
              </a:solidFill>
              <a:latin typeface="Courier New"/>
              <a:cs typeface="Courier New"/>
            </a:rPr>
            <a:t>105    4.90.US native                                   -0.392       0.809</a:t>
          </a:r>
        </a:p>
        <a:p>
          <a:pPr algn="l" rtl="0">
            <a:defRPr sz="1000"/>
          </a:pPr>
          <a:r>
            <a:rPr lang="en-US" sz="800" b="1" i="0" u="none" strike="noStrike" baseline="0">
              <a:solidFill>
                <a:srgbClr val="000000"/>
              </a:solidFill>
              <a:latin typeface="Courier New"/>
              <a:cs typeface="Courier New"/>
            </a:rPr>
            <a:t>106    5.90.US native                                   -0.547       0.315</a:t>
          </a:r>
        </a:p>
        <a:p>
          <a:pPr algn="l" rtl="0">
            <a:defRPr sz="1000"/>
          </a:pPr>
          <a:r>
            <a:rPr lang="en-US" sz="800" b="1" i="0" u="none" strike="noStrike" baseline="0">
              <a:solidFill>
                <a:srgbClr val="000000"/>
              </a:solidFill>
              <a:latin typeface="Courier New"/>
              <a:cs typeface="Courier New"/>
            </a:rPr>
            <a:t>     ethintct.mgen</a:t>
          </a:r>
        </a:p>
        <a:p>
          <a:pPr algn="l" rtl="0">
            <a:defRPr sz="1000"/>
          </a:pPr>
          <a:r>
            <a:rPr lang="en-US" sz="800" b="1" i="0" u="none" strike="noStrike" baseline="0">
              <a:solidFill>
                <a:srgbClr val="000000"/>
              </a:solidFill>
              <a:latin typeface="Courier New"/>
              <a:cs typeface="Courier New"/>
            </a:rPr>
            <a:t>107    2.US native                                      -0.064       0.426</a:t>
          </a:r>
        </a:p>
        <a:p>
          <a:pPr algn="l" rtl="0">
            <a:defRPr sz="1000"/>
          </a:pPr>
          <a:r>
            <a:rPr lang="en-US" sz="800" b="1" i="0" u="none" strike="noStrike" baseline="0">
              <a:solidFill>
                <a:srgbClr val="000000"/>
              </a:solidFill>
              <a:latin typeface="Courier New"/>
              <a:cs typeface="Courier New"/>
            </a:rPr>
            <a:t>108    3.US native                                       2.137**     0.422</a:t>
          </a:r>
        </a:p>
        <a:p>
          <a:pPr algn="l" rtl="0">
            <a:defRPr sz="1000"/>
          </a:pPr>
          <a:r>
            <a:rPr lang="en-US" sz="800" b="1" i="0" u="none" strike="noStrike" baseline="0">
              <a:solidFill>
                <a:srgbClr val="000000"/>
              </a:solidFill>
              <a:latin typeface="Courier New"/>
              <a:cs typeface="Courier New"/>
            </a:rPr>
            <a:t>109    4.US native                                       4.088**     0.735</a:t>
          </a:r>
        </a:p>
        <a:p>
          <a:pPr algn="l" rtl="0">
            <a:defRPr sz="1000"/>
          </a:pPr>
          <a:r>
            <a:rPr lang="en-US" sz="800" b="1" i="0" u="none" strike="noStrike" baseline="0">
              <a:solidFill>
                <a:srgbClr val="000000"/>
              </a:solidFill>
              <a:latin typeface="Courier New"/>
              <a:cs typeface="Courier New"/>
            </a:rPr>
            <a:t>     ethintct.year.mgen</a:t>
          </a:r>
        </a:p>
        <a:p>
          <a:pPr algn="l" rtl="0">
            <a:defRPr sz="1000"/>
          </a:pPr>
          <a:r>
            <a:rPr lang="en-US" sz="800" b="1" i="0" u="none" strike="noStrike" baseline="0">
              <a:solidFill>
                <a:srgbClr val="000000"/>
              </a:solidFill>
              <a:latin typeface="Courier New"/>
              <a:cs typeface="Courier New"/>
            </a:rPr>
            <a:t>110    1.80.US native                                   -1.171       0.635</a:t>
          </a:r>
        </a:p>
        <a:p>
          <a:pPr algn="l" rtl="0">
            <a:defRPr sz="1000"/>
          </a:pPr>
          <a:r>
            <a:rPr lang="en-US" sz="800" b="1" i="0" u="none" strike="noStrike" baseline="0">
              <a:solidFill>
                <a:srgbClr val="000000"/>
              </a:solidFill>
              <a:latin typeface="Courier New"/>
              <a:cs typeface="Courier New"/>
            </a:rPr>
            <a:t>111    2.80.US native                                    0.667       0.515</a:t>
          </a:r>
        </a:p>
        <a:p>
          <a:pPr algn="l" rtl="0">
            <a:defRPr sz="1000"/>
          </a:pPr>
          <a:r>
            <a:rPr lang="en-US" sz="800" b="1" i="0" u="none" strike="noStrike" baseline="0">
              <a:solidFill>
                <a:srgbClr val="000000"/>
              </a:solidFill>
              <a:latin typeface="Courier New"/>
              <a:cs typeface="Courier New"/>
            </a:rPr>
            <a:t>112    3.80.US native                                    0.982       0.554</a:t>
          </a:r>
        </a:p>
        <a:p>
          <a:pPr algn="l" rtl="0">
            <a:defRPr sz="1000"/>
          </a:pPr>
          <a:r>
            <a:rPr lang="en-US" sz="800" b="1" i="0" u="none" strike="noStrike" baseline="0">
              <a:solidFill>
                <a:srgbClr val="000000"/>
              </a:solidFill>
              <a:latin typeface="Courier New"/>
              <a:cs typeface="Courier New"/>
            </a:rPr>
            <a:t>113    3.90.US native                                   -1.729**     0.380</a:t>
          </a:r>
        </a:p>
        <a:p>
          <a:pPr algn="l" rtl="0">
            <a:defRPr sz="1000"/>
          </a:pPr>
          <a:r>
            <a:rPr lang="en-US" sz="800" b="1" i="0" u="none" strike="noStrike" baseline="0">
              <a:solidFill>
                <a:srgbClr val="000000"/>
              </a:solidFill>
              <a:latin typeface="Courier New"/>
              <a:cs typeface="Courier New"/>
            </a:rPr>
            <a:t>114    5.80.US native                                   -0.319       0.427</a:t>
          </a:r>
        </a:p>
        <a:p>
          <a:pPr algn="l" rtl="0">
            <a:defRPr sz="1000"/>
          </a:pPr>
          <a:r>
            <a:rPr lang="en-US" sz="800" b="1" i="0" u="none" strike="noStrike" baseline="0">
              <a:solidFill>
                <a:srgbClr val="000000"/>
              </a:solidFill>
              <a:latin typeface="Courier New"/>
              <a:cs typeface="Courier New"/>
            </a:rPr>
            <a:t>115    5.90.US native                                   -0.755*      0.331</a:t>
          </a:r>
        </a:p>
        <a:p>
          <a:pPr algn="l" rtl="0">
            <a:defRPr sz="1000"/>
          </a:pPr>
          <a:r>
            <a:rPr lang="en-US" sz="800" b="1" i="0" u="none" strike="noStrike" baseline="0">
              <a:solidFill>
                <a:srgbClr val="000000"/>
              </a:solidFill>
              <a:latin typeface="Courier New"/>
              <a:cs typeface="Courier New"/>
            </a:rPr>
            <a:t>     ethintct.fgen.mgen</a:t>
          </a:r>
        </a:p>
        <a:p>
          <a:pPr algn="l" rtl="0">
            <a:defRPr sz="1000"/>
          </a:pPr>
          <a:r>
            <a:rPr lang="en-US" sz="800" b="1" i="0" u="none" strike="noStrike" baseline="0">
              <a:solidFill>
                <a:srgbClr val="000000"/>
              </a:solidFill>
              <a:latin typeface="Courier New"/>
              <a:cs typeface="Courier New"/>
            </a:rPr>
            <a:t>116    1.US native.US native                             2.407**     0.642</a:t>
          </a:r>
        </a:p>
        <a:p>
          <a:pPr algn="l" rtl="0">
            <a:defRPr sz="1000"/>
          </a:pPr>
          <a:r>
            <a:rPr lang="en-US" sz="800" b="1" i="0" u="none" strike="noStrike" baseline="0">
              <a:solidFill>
                <a:srgbClr val="000000"/>
              </a:solidFill>
              <a:latin typeface="Courier New"/>
              <a:cs typeface="Courier New"/>
            </a:rPr>
            <a:t>117    4.US native.US native                            -2.374*      0.944</a:t>
          </a:r>
        </a:p>
        <a:p>
          <a:pPr algn="l" rtl="0">
            <a:defRPr sz="1000"/>
          </a:pPr>
          <a:r>
            <a:rPr lang="en-US" sz="800" b="1" i="0" u="none" strike="noStrike" baseline="0">
              <a:solidFill>
                <a:srgbClr val="000000"/>
              </a:solidFill>
              <a:latin typeface="Courier New"/>
              <a:cs typeface="Courier New"/>
            </a:rPr>
            <a:t>118    5.US native.US native                             1.235**     0.384</a:t>
          </a:r>
        </a:p>
        <a:p>
          <a:pPr algn="l" rtl="0">
            <a:defRPr sz="1000"/>
          </a:pPr>
          <a:r>
            <a:rPr lang="en-US" sz="800" b="1" i="0" u="none" strike="noStrike" baseline="0">
              <a:solidFill>
                <a:srgbClr val="000000"/>
              </a:solidFill>
              <a:latin typeface="Courier New"/>
              <a:cs typeface="Courier New"/>
            </a:rPr>
            <a:t>     ethintct.year.fgen.mgen</a:t>
          </a:r>
        </a:p>
        <a:p>
          <a:pPr algn="l" rtl="0">
            <a:defRPr sz="1000"/>
          </a:pPr>
          <a:r>
            <a:rPr lang="en-US" sz="800" b="1" i="0" u="none" strike="noStrike" baseline="0">
              <a:solidFill>
                <a:srgbClr val="000000"/>
              </a:solidFill>
              <a:latin typeface="Courier New"/>
              <a:cs typeface="Courier New"/>
            </a:rPr>
            <a:t>119    1.90.US native.US native                         -1.402*      0.634</a:t>
          </a:r>
        </a:p>
        <a:p>
          <a:pPr algn="l" rtl="0">
            <a:defRPr sz="1000"/>
          </a:pPr>
          <a:r>
            <a:rPr lang="en-US" sz="800" b="1" i="0" u="none" strike="noStrike" baseline="0">
              <a:solidFill>
                <a:srgbClr val="000000"/>
              </a:solidFill>
              <a:latin typeface="Courier New"/>
              <a:cs typeface="Courier New"/>
            </a:rPr>
            <a:t>120    2.80.US native.US native                         -0.828       0.643</a:t>
          </a:r>
        </a:p>
        <a:p>
          <a:pPr algn="l" rtl="0">
            <a:defRPr sz="1000"/>
          </a:pPr>
          <a:r>
            <a:rPr lang="en-US" sz="800" b="1" i="0" u="none" strike="noStrike" baseline="0">
              <a:solidFill>
                <a:srgbClr val="000000"/>
              </a:solidFill>
              <a:latin typeface="Courier New"/>
              <a:cs typeface="Courier New"/>
            </a:rPr>
            <a:t>121    2.90.US native.US native                         -0.230       0.376</a:t>
          </a:r>
        </a:p>
        <a:p>
          <a:pPr algn="l" rtl="0">
            <a:defRPr sz="1000"/>
          </a:pPr>
          <a:r>
            <a:rPr lang="en-US" sz="800" b="1" i="0" u="none" strike="noStrike" baseline="0">
              <a:solidFill>
                <a:srgbClr val="000000"/>
              </a:solidFill>
              <a:latin typeface="Courier New"/>
              <a:cs typeface="Courier New"/>
            </a:rPr>
            <a:t>122    3.80.US native.US native                         -2.812**     0.442</a:t>
          </a:r>
        </a:p>
        <a:p>
          <a:pPr algn="l" rtl="0">
            <a:defRPr sz="1000"/>
          </a:pPr>
          <a:r>
            <a:rPr lang="en-US" sz="800" b="1" i="0" u="none" strike="noStrike" baseline="0">
              <a:solidFill>
                <a:srgbClr val="000000"/>
              </a:solidFill>
              <a:latin typeface="Courier New"/>
              <a:cs typeface="Courier New"/>
            </a:rPr>
            <a:t>123    4.80.US native.US native                          0.246       0.582</a:t>
          </a:r>
        </a:p>
        <a:p>
          <a:pPr algn="l" rtl="0">
            <a:defRPr sz="1000"/>
          </a:pPr>
          <a:r>
            <a:rPr lang="en-US" sz="800" b="1" i="0" u="none" strike="noStrike" baseline="0">
              <a:solidFill>
                <a:srgbClr val="000000"/>
              </a:solidFill>
              <a:latin typeface="Courier New"/>
              <a:cs typeface="Courier New"/>
            </a:rPr>
            <a:t>124    4.90.US native.US native                          0.070       0.584</a:t>
          </a:r>
        </a:p>
        <a:p>
          <a:pPr algn="l" rtl="0">
            <a:defRPr sz="1000"/>
          </a:pPr>
          <a:r>
            <a:rPr lang="en-US" sz="800" b="1" i="0" u="none" strike="noStrike" baseline="0">
              <a:solidFill>
                <a:srgbClr val="000000"/>
              </a:solidFill>
              <a:latin typeface="Courier New"/>
              <a:cs typeface="Courier New"/>
            </a:rPr>
            <a:t>125    5.80.US native.US native                         -0.166       0.312</a:t>
          </a:r>
        </a:p>
        <a:p>
          <a:pPr algn="l" rtl="0">
            <a:defRPr sz="1000"/>
          </a:pPr>
          <a:r>
            <a:rPr lang="en-US" sz="800" b="1" i="0" u="none" strike="noStrike" baseline="0">
              <a:solidFill>
                <a:srgbClr val="000000"/>
              </a:solidFill>
              <a:latin typeface="Courier New"/>
              <a:cs typeface="Courier New"/>
            </a:rPr>
            <a:t>     QS</a:t>
          </a:r>
        </a:p>
        <a:p>
          <a:pPr algn="l" rtl="0">
            <a:defRPr sz="1000"/>
          </a:pPr>
          <a:r>
            <a:rPr lang="en-US" sz="800" b="1" i="0" u="none" strike="noStrike" baseline="0">
              <a:solidFill>
                <a:srgbClr val="000000"/>
              </a:solidFill>
              <a:latin typeface="Courier New"/>
              <a:cs typeface="Courier New"/>
            </a:rPr>
            <a:t>126    BW                                                0.165       0.515</a:t>
          </a:r>
        </a:p>
        <a:p>
          <a:pPr algn="l" rtl="0">
            <a:defRPr sz="1000"/>
          </a:pPr>
          <a:r>
            <a:rPr lang="en-US" sz="800" b="1" i="0" u="none" strike="noStrike" baseline="0">
              <a:solidFill>
                <a:srgbClr val="000000"/>
              </a:solidFill>
              <a:latin typeface="Courier New"/>
              <a:cs typeface="Courier New"/>
            </a:rPr>
            <a:t>127    Moh                                              -0.209       0.559</a:t>
          </a:r>
        </a:p>
        <a:p>
          <a:pPr algn="l" rtl="0">
            <a:defRPr sz="1000"/>
          </a:pPr>
          <a:r>
            <a:rPr lang="en-US" sz="800" b="1" i="0" u="none" strike="noStrike" baseline="0">
              <a:solidFill>
                <a:srgbClr val="000000"/>
              </a:solidFill>
              <a:latin typeface="Courier New"/>
              <a:cs typeface="Courier New"/>
            </a:rPr>
            <a:t>128    BM                                               -3.206**     0.596</a:t>
          </a:r>
        </a:p>
        <a:p>
          <a:pPr algn="l" rtl="0">
            <a:defRPr sz="1000"/>
          </a:pPr>
          <a:r>
            <a:rPr lang="en-US" sz="800" b="1" i="0" u="none" strike="noStrike" baseline="0">
              <a:solidFill>
                <a:srgbClr val="000000"/>
              </a:solidFill>
              <a:latin typeface="Courier New"/>
              <a:cs typeface="Courier New"/>
            </a:rPr>
            <a:t>129    WO                                                1.447**     0.485</a:t>
          </a:r>
        </a:p>
        <a:p>
          <a:pPr algn="l" rtl="0">
            <a:defRPr sz="1000"/>
          </a:pPr>
          <a:r>
            <a:rPr lang="en-US" sz="800" b="1" i="0" u="none" strike="noStrike" baseline="0">
              <a:solidFill>
                <a:srgbClr val="000000"/>
              </a:solidFill>
              <a:latin typeface="Courier New"/>
              <a:cs typeface="Courier New"/>
            </a:rPr>
            <a:t>130    OOh                                              -1.823**     0.398</a:t>
          </a:r>
        </a:p>
        <a:p>
          <a:pPr algn="l" rtl="0">
            <a:defRPr sz="1000"/>
          </a:pPr>
          <a:r>
            <a:rPr lang="en-US" sz="800" b="1" i="0" u="none" strike="noStrike" baseline="0">
              <a:solidFill>
                <a:srgbClr val="000000"/>
              </a:solidFill>
              <a:latin typeface="Courier New"/>
              <a:cs typeface="Courier New"/>
            </a:rPr>
            <a:t>     BOhS</a:t>
          </a:r>
        </a:p>
        <a:p>
          <a:pPr algn="l" rtl="0">
            <a:defRPr sz="1000"/>
          </a:pPr>
          <a:r>
            <a:rPr lang="en-US" sz="800" b="1" i="0" u="none" strike="noStrike" baseline="0">
              <a:solidFill>
                <a:srgbClr val="000000"/>
              </a:solidFill>
              <a:latin typeface="Courier New"/>
              <a:cs typeface="Courier New"/>
            </a:rPr>
            <a:t>131    1                                                -1.556**     0.319</a:t>
          </a:r>
        </a:p>
        <a:p>
          <a:pPr algn="l" rtl="0">
            <a:defRPr sz="1000"/>
          </a:pPr>
          <a:r>
            <a:rPr lang="en-US" sz="800" b="1" i="0" u="none" strike="noStrike" baseline="0">
              <a:solidFill>
                <a:srgbClr val="000000"/>
              </a:solidFill>
              <a:latin typeface="Courier New"/>
              <a:cs typeface="Courier New"/>
            </a:rPr>
            <a:t>     BWS</a:t>
          </a:r>
        </a:p>
        <a:p>
          <a:pPr algn="l" rtl="0">
            <a:defRPr sz="1000"/>
          </a:pPr>
          <a:r>
            <a:rPr lang="en-US" sz="800" b="1" i="0" u="none" strike="noStrike" baseline="0">
              <a:solidFill>
                <a:srgbClr val="000000"/>
              </a:solidFill>
              <a:latin typeface="Courier New"/>
              <a:cs typeface="Courier New"/>
            </a:rPr>
            <a:t>132    1                                                -0.666       0.345</a:t>
          </a:r>
        </a:p>
        <a:p>
          <a:pPr algn="l" rtl="0">
            <a:defRPr sz="1000"/>
          </a:pPr>
          <a:r>
            <a:rPr lang="en-US" sz="800" b="1" i="0" u="none" strike="noStrike" baseline="0">
              <a:solidFill>
                <a:srgbClr val="000000"/>
              </a:solidFill>
              <a:latin typeface="Courier New"/>
              <a:cs typeface="Courier New"/>
            </a:rPr>
            <a:t>     QS.year</a:t>
          </a:r>
        </a:p>
        <a:p>
          <a:pPr algn="l" rtl="0">
            <a:defRPr sz="1000"/>
          </a:pPr>
          <a:r>
            <a:rPr lang="en-US" sz="800" b="1" i="0" u="none" strike="noStrike" baseline="0">
              <a:solidFill>
                <a:srgbClr val="000000"/>
              </a:solidFill>
              <a:latin typeface="Courier New"/>
              <a:cs typeface="Courier New"/>
            </a:rPr>
            <a:t>133    BW.80                                            -0.743       0.455</a:t>
          </a:r>
        </a:p>
        <a:p>
          <a:pPr algn="l" rtl="0">
            <a:defRPr sz="1000"/>
          </a:pPr>
          <a:r>
            <a:rPr lang="en-US" sz="800" b="1" i="0" u="none" strike="noStrike" baseline="0">
              <a:solidFill>
                <a:srgbClr val="000000"/>
              </a:solidFill>
              <a:latin typeface="Courier New"/>
              <a:cs typeface="Courier New"/>
            </a:rPr>
            <a:t>134    BW.90                                            -0.345       0.456</a:t>
          </a:r>
        </a:p>
        <a:p>
          <a:pPr algn="l" rtl="0">
            <a:defRPr sz="1000"/>
          </a:pPr>
          <a:r>
            <a:rPr lang="en-US" sz="800" b="1" i="0" u="none" strike="noStrike" baseline="0">
              <a:solidFill>
                <a:srgbClr val="000000"/>
              </a:solidFill>
              <a:latin typeface="Courier New"/>
              <a:cs typeface="Courier New"/>
            </a:rPr>
            <a:t>135    Moh.80                                            0.376       0.405</a:t>
          </a:r>
        </a:p>
        <a:p>
          <a:pPr algn="l" rtl="0">
            <a:defRPr sz="1000"/>
          </a:pPr>
          <a:r>
            <a:rPr lang="en-US" sz="800" b="1" i="0" u="none" strike="noStrike" baseline="0">
              <a:solidFill>
                <a:srgbClr val="000000"/>
              </a:solidFill>
              <a:latin typeface="Courier New"/>
              <a:cs typeface="Courier New"/>
            </a:rPr>
            <a:t>136    Moh.90                                            0.055       0.408</a:t>
          </a:r>
        </a:p>
        <a:p>
          <a:pPr algn="l" rtl="0">
            <a:defRPr sz="1000"/>
          </a:pPr>
          <a:r>
            <a:rPr lang="en-US" sz="800" b="1" i="0" u="none" strike="noStrike" baseline="0">
              <a:solidFill>
                <a:srgbClr val="000000"/>
              </a:solidFill>
              <a:latin typeface="Courier New"/>
              <a:cs typeface="Courier New"/>
            </a:rPr>
            <a:t>137    BM.80                                             1.189**     0.447</a:t>
          </a:r>
        </a:p>
        <a:p>
          <a:pPr algn="l" rtl="0">
            <a:defRPr sz="1000"/>
          </a:pPr>
          <a:r>
            <a:rPr lang="en-US" sz="800" b="1" i="0" u="none" strike="noStrike" baseline="0">
              <a:solidFill>
                <a:srgbClr val="000000"/>
              </a:solidFill>
              <a:latin typeface="Courier New"/>
              <a:cs typeface="Courier New"/>
            </a:rPr>
            <a:t>138    BM.90                                             1.260**     0.447</a:t>
          </a:r>
        </a:p>
        <a:p>
          <a:pPr algn="l" rtl="0">
            <a:defRPr sz="1000"/>
          </a:pPr>
          <a:r>
            <a:rPr lang="en-US" sz="800" b="1" i="0" u="none" strike="noStrike" baseline="0">
              <a:solidFill>
                <a:srgbClr val="000000"/>
              </a:solidFill>
              <a:latin typeface="Courier New"/>
              <a:cs typeface="Courier New"/>
            </a:rPr>
            <a:t>139    WO.80                                            -0.482       0.324</a:t>
          </a:r>
        </a:p>
        <a:p>
          <a:pPr algn="l" rtl="0">
            <a:defRPr sz="1000"/>
          </a:pPr>
          <a:r>
            <a:rPr lang="en-US" sz="800" b="1" i="0" u="none" strike="noStrike" baseline="0">
              <a:solidFill>
                <a:srgbClr val="000000"/>
              </a:solidFill>
              <a:latin typeface="Courier New"/>
              <a:cs typeface="Courier New"/>
            </a:rPr>
            <a:t>140    WO.90                                            -0.173       0.328</a:t>
          </a:r>
        </a:p>
        <a:p>
          <a:pPr algn="l" rtl="0">
            <a:defRPr sz="1000"/>
          </a:pPr>
          <a:r>
            <a:rPr lang="en-US" sz="800" b="1" i="0" u="none" strike="noStrike" baseline="0">
              <a:solidFill>
                <a:srgbClr val="000000"/>
              </a:solidFill>
              <a:latin typeface="Courier New"/>
              <a:cs typeface="Courier New"/>
            </a:rPr>
            <a:t>141    OOh.80                                            0.353       0.336</a:t>
          </a:r>
        </a:p>
        <a:p>
          <a:pPr algn="l" rtl="0">
            <a:defRPr sz="1000"/>
          </a:pPr>
          <a:r>
            <a:rPr lang="en-US" sz="800" b="1" i="0" u="none" strike="noStrike" baseline="0">
              <a:solidFill>
                <a:srgbClr val="000000"/>
              </a:solidFill>
              <a:latin typeface="Courier New"/>
              <a:cs typeface="Courier New"/>
            </a:rPr>
            <a:t>142    OOh.90                                            0.589       0.336</a:t>
          </a:r>
        </a:p>
        <a:p>
          <a:pPr algn="l" rtl="0">
            <a:defRPr sz="1000"/>
          </a:pPr>
          <a:r>
            <a:rPr lang="en-US" sz="800" b="1" i="0" u="none" strike="noStrike" baseline="0">
              <a:solidFill>
                <a:srgbClr val="000000"/>
              </a:solidFill>
              <a:latin typeface="Courier New"/>
              <a:cs typeface="Courier New"/>
            </a:rPr>
            <a:t>     QS.mgen</a:t>
          </a:r>
        </a:p>
        <a:p>
          <a:pPr algn="l" rtl="0">
            <a:defRPr sz="1000"/>
          </a:pPr>
          <a:r>
            <a:rPr lang="en-US" sz="800" b="1" i="0" u="none" strike="noStrike" baseline="0">
              <a:solidFill>
                <a:srgbClr val="000000"/>
              </a:solidFill>
              <a:latin typeface="Courier New"/>
              <a:cs typeface="Courier New"/>
            </a:rPr>
            <a:t>143    BW.US native                                     -0.281       0.227</a:t>
          </a:r>
        </a:p>
        <a:p>
          <a:pPr algn="l" rtl="0">
            <a:defRPr sz="1000"/>
          </a:pPr>
          <a:r>
            <a:rPr lang="en-US" sz="800" b="1" i="0" u="none" strike="noStrike" baseline="0">
              <a:solidFill>
                <a:srgbClr val="000000"/>
              </a:solidFill>
              <a:latin typeface="Courier New"/>
              <a:cs typeface="Courier New"/>
            </a:rPr>
            <a:t>144    Moh.US native                                    -0.669**     0.235</a:t>
          </a:r>
        </a:p>
        <a:p>
          <a:pPr algn="l" rtl="0">
            <a:defRPr sz="1000"/>
          </a:pPr>
          <a:r>
            <a:rPr lang="en-US" sz="800" b="1" i="0" u="none" strike="noStrike" baseline="0">
              <a:solidFill>
                <a:srgbClr val="000000"/>
              </a:solidFill>
              <a:latin typeface="Courier New"/>
              <a:cs typeface="Courier New"/>
            </a:rPr>
            <a:t>145    BM.US native                                      0.082       0.228</a:t>
          </a:r>
        </a:p>
        <a:p>
          <a:pPr algn="l" rtl="0">
            <a:defRPr sz="1000"/>
          </a:pPr>
          <a:r>
            <a:rPr lang="en-US" sz="800" b="1" i="0" u="none" strike="noStrike" baseline="0">
              <a:solidFill>
                <a:srgbClr val="000000"/>
              </a:solidFill>
              <a:latin typeface="Courier New"/>
              <a:cs typeface="Courier New"/>
            </a:rPr>
            <a:t>146    WO.US native                                      0.431*      0.213</a:t>
          </a:r>
        </a:p>
        <a:p>
          <a:pPr algn="l" rtl="0">
            <a:defRPr sz="1000"/>
          </a:pPr>
          <a:r>
            <a:rPr lang="en-US" sz="800" b="1" i="0" u="none" strike="noStrike" baseline="0">
              <a:solidFill>
                <a:srgbClr val="000000"/>
              </a:solidFill>
              <a:latin typeface="Courier New"/>
              <a:cs typeface="Courier New"/>
            </a:rPr>
            <a:t>147    OOh.US native                                     1.031**     0.168</a:t>
          </a:r>
        </a:p>
        <a:p>
          <a:pPr algn="l" rtl="0">
            <a:defRPr sz="1000"/>
          </a:pPr>
          <a:r>
            <a:rPr lang="en-US" sz="800" b="1" i="0" u="none" strike="noStrike" baseline="0">
              <a:solidFill>
                <a:srgbClr val="000000"/>
              </a:solidFill>
              <a:latin typeface="Courier New"/>
              <a:cs typeface="Courier New"/>
            </a:rPr>
            <a:t>     QS.fgen</a:t>
          </a:r>
        </a:p>
        <a:p>
          <a:pPr algn="l" rtl="0">
            <a:defRPr sz="1000"/>
          </a:pPr>
          <a:r>
            <a:rPr lang="en-US" sz="800" b="1" i="0" u="none" strike="noStrike" baseline="0">
              <a:solidFill>
                <a:srgbClr val="000000"/>
              </a:solidFill>
              <a:latin typeface="Courier New"/>
              <a:cs typeface="Courier New"/>
            </a:rPr>
            <a:t>148    BW.US native                                     -0.132       0.175</a:t>
          </a:r>
        </a:p>
        <a:p>
          <a:pPr algn="l" rtl="0">
            <a:defRPr sz="1000"/>
          </a:pPr>
          <a:r>
            <a:rPr lang="en-US" sz="800" b="1" i="0" u="none" strike="noStrike" baseline="0">
              <a:solidFill>
                <a:srgbClr val="000000"/>
              </a:solidFill>
              <a:latin typeface="Courier New"/>
              <a:cs typeface="Courier New"/>
            </a:rPr>
            <a:t>149    Moh.US native                                    -0.223       0.342</a:t>
          </a:r>
        </a:p>
        <a:p>
          <a:pPr algn="l" rtl="0">
            <a:defRPr sz="1000"/>
          </a:pPr>
          <a:r>
            <a:rPr lang="en-US" sz="800" b="1" i="0" u="none" strike="noStrike" baseline="0">
              <a:solidFill>
                <a:srgbClr val="000000"/>
              </a:solidFill>
              <a:latin typeface="Courier New"/>
              <a:cs typeface="Courier New"/>
            </a:rPr>
            <a:t>150    BM.US native                                      0.667       0.346</a:t>
          </a:r>
        </a:p>
        <a:p>
          <a:pPr algn="l" rtl="0">
            <a:defRPr sz="1000"/>
          </a:pPr>
          <a:r>
            <a:rPr lang="en-US" sz="800" b="1" i="0" u="none" strike="noStrike" baseline="0">
              <a:solidFill>
                <a:srgbClr val="000000"/>
              </a:solidFill>
              <a:latin typeface="Courier New"/>
              <a:cs typeface="Courier New"/>
            </a:rPr>
            <a:t>151    WO.US native                                     -0.357       0.321</a:t>
          </a:r>
        </a:p>
        <a:p>
          <a:pPr algn="l" rtl="0">
            <a:defRPr sz="1000"/>
          </a:pPr>
          <a:r>
            <a:rPr lang="en-US" sz="800" b="1" i="0" u="none" strike="noStrike" baseline="0">
              <a:solidFill>
                <a:srgbClr val="000000"/>
              </a:solidFill>
              <a:latin typeface="Courier New"/>
              <a:cs typeface="Courier New"/>
            </a:rPr>
            <a:t>152    OOh.US native                                     0.439*      0.175</a:t>
          </a:r>
        </a:p>
        <a:p>
          <a:pPr algn="l" rtl="0">
            <a:defRPr sz="1000"/>
          </a:pPr>
          <a:r>
            <a:rPr lang="en-US" sz="800" b="1" i="0" u="none" strike="noStrike" baseline="0">
              <a:solidFill>
                <a:srgbClr val="000000"/>
              </a:solidFill>
              <a:latin typeface="Courier New"/>
              <a:cs typeface="Courier New"/>
            </a:rPr>
            <a:t>     BOhS.fgen</a:t>
          </a:r>
        </a:p>
        <a:p>
          <a:pPr algn="l" rtl="0">
            <a:defRPr sz="1000"/>
          </a:pPr>
          <a:r>
            <a:rPr lang="en-US" sz="800" b="1" i="0" u="none" strike="noStrike" baseline="0">
              <a:solidFill>
                <a:srgbClr val="000000"/>
              </a:solidFill>
              <a:latin typeface="Courier New"/>
              <a:cs typeface="Courier New"/>
            </a:rPr>
            <a:t>153    1.US native                                       0.866**     0.324</a:t>
          </a:r>
        </a:p>
        <a:p>
          <a:pPr algn="l" rtl="0">
            <a:defRPr sz="1000"/>
          </a:pPr>
          <a:r>
            <a:rPr lang="en-US" sz="800" b="1" i="0" u="none" strike="noStrike" baseline="0">
              <a:solidFill>
                <a:srgbClr val="000000"/>
              </a:solidFill>
              <a:latin typeface="Courier New"/>
              <a:cs typeface="Courier New"/>
            </a:rPr>
            <a:t>     BWS.year</a:t>
          </a:r>
        </a:p>
        <a:p>
          <a:pPr algn="l" rtl="0">
            <a:defRPr sz="1000"/>
          </a:pPr>
          <a:r>
            <a:rPr lang="en-US" sz="800" b="1" i="0" u="none" strike="noStrike" baseline="0">
              <a:solidFill>
                <a:srgbClr val="000000"/>
              </a:solidFill>
              <a:latin typeface="Courier New"/>
              <a:cs typeface="Courier New"/>
            </a:rPr>
            <a:t>154    1.80                                              0.874*      0.351</a:t>
          </a:r>
        </a:p>
        <a:p>
          <a:pPr algn="l" rtl="0">
            <a:defRPr sz="1000"/>
          </a:pPr>
          <a:r>
            <a:rPr lang="en-US" sz="800" b="1" i="0" u="none" strike="noStrike" baseline="0">
              <a:solidFill>
                <a:srgbClr val="000000"/>
              </a:solidFill>
              <a:latin typeface="Courier New"/>
              <a:cs typeface="Courier New"/>
            </a:rPr>
            <a:t>155    1.90                                              0.771*      0.351</a:t>
          </a:r>
        </a:p>
        <a:p>
          <a:pPr algn="l" rtl="0">
            <a:defRPr sz="1000"/>
          </a:pPr>
          <a:r>
            <a:rPr lang="en-US" sz="800" b="1" i="0" u="none" strike="noStrike" baseline="0">
              <a:solidFill>
                <a:srgbClr val="000000"/>
              </a:solidFill>
              <a:latin typeface="Courier New"/>
              <a:cs typeface="Courier New"/>
            </a:rPr>
            <a:t>156  _cons                                      don't need it for the graph</a:t>
          </a:r>
        </a:p>
        <a:p>
          <a:pPr algn="l" rtl="0">
            <a:defRPr sz="1000"/>
          </a:pPr>
          <a:r>
            <a:rPr lang="en-US" sz="800" b="1" i="0" u="none" strike="noStrike" baseline="0">
              <a:solidFill>
                <a:srgbClr val="000000"/>
              </a:solidFill>
              <a:latin typeface="Courier New"/>
              <a:cs typeface="Courier New"/>
            </a:rPr>
            <a:t>---------------------------------------------------------------------------</a:t>
          </a:r>
        </a:p>
        <a:p>
          <a:pPr algn="l" rtl="0">
            <a:defRPr sz="1000"/>
          </a:pPr>
          <a:r>
            <a:rPr lang="en-US" sz="800" b="1" i="0" u="none" strike="noStrike" baseline="0">
              <a:solidFill>
                <a:srgbClr val="000000"/>
              </a:solidFill>
              <a:latin typeface="Courier New"/>
              <a:cs typeface="Courier New"/>
            </a:rPr>
            <a:t>*  p &lt; .05</a:t>
          </a:r>
        </a:p>
        <a:p>
          <a:pPr algn="l" rtl="0">
            <a:defRPr sz="1000"/>
          </a:pPr>
          <a:r>
            <a:rPr lang="en-US" sz="800" b="1" i="0" u="none" strike="noStrike" baseline="0">
              <a:solidFill>
                <a:srgbClr val="000000"/>
              </a:solidFill>
              <a:latin typeface="Courier New"/>
              <a:cs typeface="Courier New"/>
            </a:rPr>
            <a:t>** p &lt; .01</a:t>
          </a:r>
        </a:p>
        <a:p>
          <a:pPr algn="l" rtl="0">
            <a:defRPr sz="1000"/>
          </a:pPr>
          <a:endParaRPr lang="en-US" sz="800" b="1" i="0" u="none" strike="noStrike" baseline="0">
            <a:solidFill>
              <a:srgbClr val="000000"/>
            </a:solidFill>
            <a:latin typeface="Courier New"/>
            <a:cs typeface="Courier New"/>
          </a:endParaRPr>
        </a:p>
        <a:p>
          <a:pPr algn="l" rtl="0">
            <a:defRPr sz="1000"/>
          </a:pPr>
          <a:r>
            <a:rPr lang="en-US" sz="800" b="1" i="0" u="none" strike="noStrike" baseline="0">
              <a:solidFill>
                <a:srgbClr val="000000"/>
              </a:solidFill>
              <a:latin typeface="Courier New"/>
              <a:cs typeface="Courier New"/>
            </a:rPr>
            <a:t>. poisgof</a:t>
          </a:r>
        </a:p>
        <a:p>
          <a:pPr algn="l" rtl="0">
            <a:defRPr sz="1000"/>
          </a:pPr>
          <a:endParaRPr lang="en-US" sz="800" b="1" i="0" u="none" strike="noStrike" baseline="0">
            <a:solidFill>
              <a:srgbClr val="000000"/>
            </a:solidFill>
            <a:latin typeface="Courier New"/>
            <a:cs typeface="Courier New"/>
          </a:endParaRPr>
        </a:p>
        <a:p>
          <a:pPr algn="l" rtl="0">
            <a:defRPr sz="1000"/>
          </a:pPr>
          <a:r>
            <a:rPr lang="en-US" sz="800" b="1" i="0" u="none" strike="noStrike" baseline="0">
              <a:solidFill>
                <a:srgbClr val="000000"/>
              </a:solidFill>
              <a:latin typeface="Courier New"/>
              <a:cs typeface="Courier New"/>
            </a:rPr>
            <a:t>         Goodness-of-fit chi2  =  107.3149</a:t>
          </a:r>
        </a:p>
        <a:p>
          <a:pPr algn="l" rtl="0">
            <a:defRPr sz="1000"/>
          </a:pPr>
          <a:r>
            <a:rPr lang="en-US" sz="800" b="1" i="0" u="none" strike="noStrike" baseline="0">
              <a:solidFill>
                <a:srgbClr val="000000"/>
              </a:solidFill>
              <a:latin typeface="Courier New"/>
              <a:cs typeface="Courier New"/>
            </a:rPr>
            <a:t>         Prob &gt; chi2(69)       =    0.0022</a:t>
          </a:r>
        </a:p>
        <a:p>
          <a:pPr algn="l" rtl="0">
            <a:defRPr sz="1000"/>
          </a:pPr>
          <a:endParaRPr lang="en-US" sz="800" b="0" i="0" u="none" strike="noStrike" baseline="0">
            <a:solidFill>
              <a:srgbClr val="000000"/>
            </a:solidFill>
            <a:latin typeface="Courier New"/>
            <a:cs typeface="Courier New"/>
          </a:endParaRP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display 107.3-(69*(ln(649821)))</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-816.2272</a:t>
          </a:r>
        </a:p>
        <a:p>
          <a:pPr algn="l" rtl="0">
            <a:defRPr sz="1000"/>
          </a:pPr>
          <a:r>
            <a:rPr lang="en-US" sz="800" b="0" i="0" u="none" strike="noStrike" baseline="0">
              <a:solidFill>
                <a:srgbClr val="000000"/>
              </a:solidFill>
              <a:latin typeface="Courier New"/>
              <a:cs typeface="Courier New"/>
            </a:rPr>
            <a:t>END</a:t>
          </a:r>
        </a:p>
        <a:p>
          <a:pPr algn="l" rtl="0">
            <a:defRPr sz="1000"/>
          </a:pPr>
          <a:endParaRPr lang="en-US" sz="800" b="0" i="0" u="none" strike="noStrike" baseline="0">
            <a:solidFill>
              <a:srgbClr val="000000"/>
            </a:solidFill>
            <a:latin typeface="Courier New"/>
            <a:cs typeface="Courier New"/>
          </a:endParaRPr>
        </a:p>
      </xdr:txBody>
    </xdr:sp>
    <xdr:clientData/>
  </xdr:twoCellAnchor>
  <xdr:twoCellAnchor>
    <xdr:from>
      <xdr:col>0</xdr:col>
      <xdr:colOff>38100</xdr:colOff>
      <xdr:row>81</xdr:row>
      <xdr:rowOff>38100</xdr:rowOff>
    </xdr:from>
    <xdr:to>
      <xdr:col>9</xdr:col>
      <xdr:colOff>28575</xdr:colOff>
      <xdr:row>114</xdr:row>
      <xdr:rowOff>85725</xdr:rowOff>
    </xdr:to>
    <xdr:graphicFrame macro="">
      <xdr:nvGraphicFramePr>
        <xdr:cNvPr id="9218"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0</xdr:colOff>
      <xdr:row>82</xdr:row>
      <xdr:rowOff>0</xdr:rowOff>
    </xdr:from>
    <xdr:to>
      <xdr:col>19</xdr:col>
      <xdr:colOff>0</xdr:colOff>
      <xdr:row>115</xdr:row>
      <xdr:rowOff>57150</xdr:rowOff>
    </xdr:to>
    <xdr:graphicFrame macro="">
      <xdr:nvGraphicFramePr>
        <xdr:cNvPr id="9219"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600075</xdr:colOff>
      <xdr:row>115</xdr:row>
      <xdr:rowOff>142875</xdr:rowOff>
    </xdr:from>
    <xdr:to>
      <xdr:col>7</xdr:col>
      <xdr:colOff>171450</xdr:colOff>
      <xdr:row>127</xdr:row>
      <xdr:rowOff>28575</xdr:rowOff>
    </xdr:to>
    <xdr:sp macro="" textlink="">
      <xdr:nvSpPr>
        <xdr:cNvPr id="9220" name="Text Box 4"/>
        <xdr:cNvSpPr txBox="1">
          <a:spLocks noChangeArrowheads="1"/>
        </xdr:cNvSpPr>
      </xdr:nvSpPr>
      <xdr:spPr bwMode="auto">
        <a:xfrm>
          <a:off x="600075" y="17668875"/>
          <a:ext cx="3838575" cy="17145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Geneva"/>
            </a:rPr>
            <a:t>A quick note on how to make these 3-D graphs in Excel.</a:t>
          </a:r>
        </a:p>
        <a:p>
          <a:pPr algn="l" rtl="0">
            <a:defRPr sz="1000"/>
          </a:pPr>
          <a:r>
            <a:rPr lang="en-US" sz="900" b="0" i="0" u="none" strike="noStrike" baseline="0">
              <a:solidFill>
                <a:srgbClr val="000000"/>
              </a:solidFill>
              <a:latin typeface="Geneva"/>
            </a:rPr>
            <a:t>1) Chart type is '3-D Column'</a:t>
          </a:r>
        </a:p>
        <a:p>
          <a:pPr algn="l" rtl="0">
            <a:defRPr sz="1000"/>
          </a:pPr>
          <a:r>
            <a:rPr lang="en-US" sz="900" b="0" i="0" u="none" strike="noStrike" baseline="0">
              <a:solidFill>
                <a:srgbClr val="000000"/>
              </a:solidFill>
              <a:latin typeface="Geneva"/>
            </a:rPr>
            <a:t>2) Manually assign each series the same color, and select the 'invert if negative' box.  That way all positive values will be one color, and all negative values will be the other color (here the negative color is white)</a:t>
          </a:r>
        </a:p>
        <a:p>
          <a:pPr algn="l" rtl="0">
            <a:defRPr sz="1000"/>
          </a:pPr>
          <a:r>
            <a:rPr lang="en-US" sz="900" b="0" i="0" u="none" strike="noStrike" baseline="0">
              <a:solidFill>
                <a:srgbClr val="000000"/>
              </a:solidFill>
              <a:latin typeface="Geneva"/>
            </a:rPr>
            <a:t>3) Select the X and Y Axes.  Make sure that each axis scale is set to "1 category between tick marks".  Also, one of the two axes (either X or Y) should be set to 'reverse order', so that the main diagonal comes towards the viewer.</a:t>
          </a:r>
        </a:p>
      </xdr:txBody>
    </xdr:sp>
    <xdr:clientData/>
  </xdr:twoCellAnchor>
  <xdr:oneCellAnchor>
    <xdr:from>
      <xdr:col>9</xdr:col>
      <xdr:colOff>57150</xdr:colOff>
      <xdr:row>115</xdr:row>
      <xdr:rowOff>0</xdr:rowOff>
    </xdr:from>
    <xdr:ext cx="76200" cy="190500"/>
    <xdr:sp macro="" textlink="">
      <xdr:nvSpPr>
        <xdr:cNvPr id="9221" name="Text Box 5"/>
        <xdr:cNvSpPr txBox="1">
          <a:spLocks noChangeArrowheads="1"/>
        </xdr:cNvSpPr>
      </xdr:nvSpPr>
      <xdr:spPr bwMode="auto">
        <a:xfrm>
          <a:off x="5543550" y="17526000"/>
          <a:ext cx="76200" cy="1905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twoCellAnchor>
    <xdr:from>
      <xdr:col>9</xdr:col>
      <xdr:colOff>9525</xdr:colOff>
      <xdr:row>117</xdr:row>
      <xdr:rowOff>0</xdr:rowOff>
    </xdr:from>
    <xdr:to>
      <xdr:col>15</xdr:col>
      <xdr:colOff>104775</xdr:colOff>
      <xdr:row>126</xdr:row>
      <xdr:rowOff>142875</xdr:rowOff>
    </xdr:to>
    <xdr:sp macro="" textlink="">
      <xdr:nvSpPr>
        <xdr:cNvPr id="9222" name="Text Box 6"/>
        <xdr:cNvSpPr txBox="1">
          <a:spLocks noChangeArrowheads="1"/>
        </xdr:cNvSpPr>
      </xdr:nvSpPr>
      <xdr:spPr bwMode="auto">
        <a:xfrm>
          <a:off x="5495925" y="17830800"/>
          <a:ext cx="3752850" cy="151447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Geneva"/>
            </a:rPr>
            <a:t>I've put the two 3-D charts on the same Z scale.  Here you can see the importance of the endogamy diagonal on the first chart, and the reduction in Black endogamy when one partner is an immigrant.  I've labeled the Z axis 'relative log count', but you'd have to add 'controling for the sizes of the groups'.  You could also label this axis 'relative log odds ratios.'</a:t>
          </a:r>
        </a:p>
        <a:p>
          <a:pPr algn="l" rtl="0">
            <a:defRPr sz="1000"/>
          </a:pPr>
          <a:r>
            <a:rPr lang="en-US" sz="900" b="0" i="0" u="none" strike="noStrike" baseline="0">
              <a:solidFill>
                <a:srgbClr val="000000"/>
              </a:solidFill>
              <a:latin typeface="Geneva"/>
            </a:rPr>
            <a:t>In the next worksheet, I look at these same two tables, and two charts, with a saturated model created first by hand, then by saturated loglinear models...</a:t>
          </a:r>
        </a:p>
      </xdr:txBody>
    </xdr:sp>
    <xdr:clientData/>
  </xdr:twoCellAnchor>
  <xdr:oneCellAnchor>
    <xdr:from>
      <xdr:col>11</xdr:col>
      <xdr:colOff>171450</xdr:colOff>
      <xdr:row>118</xdr:row>
      <xdr:rowOff>47625</xdr:rowOff>
    </xdr:from>
    <xdr:ext cx="76200" cy="190500"/>
    <xdr:sp macro="" textlink="">
      <xdr:nvSpPr>
        <xdr:cNvPr id="9224" name="Text Box 8"/>
        <xdr:cNvSpPr txBox="1">
          <a:spLocks noChangeArrowheads="1"/>
        </xdr:cNvSpPr>
      </xdr:nvSpPr>
      <xdr:spPr bwMode="auto">
        <a:xfrm>
          <a:off x="6877050" y="18030825"/>
          <a:ext cx="76200" cy="1905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wsDr>
</file>

<file path=xl/drawings/drawing17.xml><?xml version="1.0" encoding="utf-8"?>
<xdr:wsDr xmlns:xdr="http://schemas.openxmlformats.org/drawingml/2006/spreadsheetDrawing" xmlns:a="http://schemas.openxmlformats.org/drawingml/2006/main">
  <xdr:twoCellAnchor>
    <xdr:from>
      <xdr:col>0</xdr:col>
      <xdr:colOff>200025</xdr:colOff>
      <xdr:row>0</xdr:row>
      <xdr:rowOff>114300</xdr:rowOff>
    </xdr:from>
    <xdr:to>
      <xdr:col>16</xdr:col>
      <xdr:colOff>57150</xdr:colOff>
      <xdr:row>9</xdr:row>
      <xdr:rowOff>19050</xdr:rowOff>
    </xdr:to>
    <xdr:sp macro="" textlink="">
      <xdr:nvSpPr>
        <xdr:cNvPr id="10241" name="Text Box 1"/>
        <xdr:cNvSpPr txBox="1">
          <a:spLocks noChangeArrowheads="1"/>
        </xdr:cNvSpPr>
      </xdr:nvSpPr>
      <xdr:spPr bwMode="auto">
        <a:xfrm>
          <a:off x="200025" y="114300"/>
          <a:ext cx="9610725" cy="127635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Geneva"/>
            </a:rPr>
            <a:t>Here we're going to make the same comparison between interracial marriage for US born couples, and interracial marriage in couples whose husbands are US born but whose wives are immigrants to the US.  We're going to be using the actual data here, rather than coefficients from a (non-saturated) model. It makes more sense in many cases to present the actual data, or coefficients from a saturated model rather than coefficients from other model, which may not fit the data very well.  Here we will be looking at the actual data (transformed, of course).  And we will be manipulating the data in a way that corresponds to a saturated loglinear model with deviation coding of the dummy variables.  Deviation coding is nice because it has no excluded categories, i.e. there are no rows and columns of zeros, so you don't have to worry about 'comparison categories'.  The comparison category is always the group average. </a:t>
          </a:r>
        </a:p>
        <a:p>
          <a:pPr algn="l" rtl="0">
            <a:defRPr sz="1000"/>
          </a:pPr>
          <a:endParaRPr lang="en-US" sz="900" b="0" i="0" u="none" strike="noStrike" baseline="0">
            <a:solidFill>
              <a:srgbClr val="000000"/>
            </a:solidFill>
            <a:latin typeface="Geneva"/>
          </a:endParaRPr>
        </a:p>
        <a:p>
          <a:pPr algn="l" rtl="0">
            <a:defRPr sz="1000"/>
          </a:pPr>
          <a:r>
            <a:rPr lang="en-US" sz="900" b="0" i="0" u="none" strike="noStrike" baseline="0">
              <a:solidFill>
                <a:srgbClr val="000000"/>
              </a:solidFill>
              <a:latin typeface="Geneva"/>
            </a:rPr>
            <a:t>We are going to build something like a saturated model for these two 5x5 tables by hand.</a:t>
          </a:r>
        </a:p>
        <a:p>
          <a:pPr algn="l" rtl="0">
            <a:defRPr sz="1000"/>
          </a:pPr>
          <a:endParaRPr lang="en-US" sz="900" b="0" i="0" u="none" strike="noStrike" baseline="0">
            <a:solidFill>
              <a:srgbClr val="000000"/>
            </a:solidFill>
            <a:latin typeface="Geneva"/>
          </a:endParaRPr>
        </a:p>
      </xdr:txBody>
    </xdr:sp>
    <xdr:clientData/>
  </xdr:twoCellAnchor>
  <xdr:twoCellAnchor>
    <xdr:from>
      <xdr:col>1</xdr:col>
      <xdr:colOff>85725</xdr:colOff>
      <xdr:row>25</xdr:row>
      <xdr:rowOff>133350</xdr:rowOff>
    </xdr:from>
    <xdr:to>
      <xdr:col>5</xdr:col>
      <xdr:colOff>600075</xdr:colOff>
      <xdr:row>28</xdr:row>
      <xdr:rowOff>38100</xdr:rowOff>
    </xdr:to>
    <xdr:sp macro="" textlink="">
      <xdr:nvSpPr>
        <xdr:cNvPr id="10242" name="Text Box 2"/>
        <xdr:cNvSpPr txBox="1">
          <a:spLocks noChangeArrowheads="1"/>
        </xdr:cNvSpPr>
      </xdr:nvSpPr>
      <xdr:spPr bwMode="auto">
        <a:xfrm>
          <a:off x="695325" y="3943350"/>
          <a:ext cx="2952750" cy="36195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Geneva"/>
            </a:rPr>
            <a:t>2) Take the log of every cell</a:t>
          </a:r>
        </a:p>
      </xdr:txBody>
    </xdr:sp>
    <xdr:clientData/>
  </xdr:twoCellAnchor>
  <xdr:twoCellAnchor>
    <xdr:from>
      <xdr:col>0</xdr:col>
      <xdr:colOff>600075</xdr:colOff>
      <xdr:row>41</xdr:row>
      <xdr:rowOff>0</xdr:rowOff>
    </xdr:from>
    <xdr:to>
      <xdr:col>15</xdr:col>
      <xdr:colOff>9525</xdr:colOff>
      <xdr:row>46</xdr:row>
      <xdr:rowOff>19050</xdr:rowOff>
    </xdr:to>
    <xdr:sp macro="" textlink="">
      <xdr:nvSpPr>
        <xdr:cNvPr id="10243" name="Text Box 3"/>
        <xdr:cNvSpPr txBox="1">
          <a:spLocks noChangeArrowheads="1"/>
        </xdr:cNvSpPr>
      </xdr:nvSpPr>
      <xdr:spPr bwMode="auto">
        <a:xfrm>
          <a:off x="600075" y="6248400"/>
          <a:ext cx="8553450" cy="78105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Geneva"/>
            </a:rPr>
            <a:t>3) Subtract the global average (for each table) of the log count from each cell's log count.  The average would be the constant value for the loglinear model for each table, if we used what desmat calls 'deviation' coding of dummy variables.  After subtracting the average log count from each cell, generate row and column averages.  The row and column averages correspond to the row and column coefficients of the saturated model, again using deviation dummy variables (which is not the default option for Stata, but is the default option for SAS).  Stata and desmat would only report 4 of the 5 column and 4 of the 5 row effects, so you'd have to run the model twice with different comparison groups to get the full set of effects from STATA.</a:t>
          </a:r>
        </a:p>
      </xdr:txBody>
    </xdr:sp>
    <xdr:clientData/>
  </xdr:twoCellAnchor>
  <xdr:twoCellAnchor>
    <xdr:from>
      <xdr:col>1</xdr:col>
      <xdr:colOff>0</xdr:colOff>
      <xdr:row>58</xdr:row>
      <xdr:rowOff>142875</xdr:rowOff>
    </xdr:from>
    <xdr:to>
      <xdr:col>13</xdr:col>
      <xdr:colOff>76200</xdr:colOff>
      <xdr:row>63</xdr:row>
      <xdr:rowOff>9525</xdr:rowOff>
    </xdr:to>
    <xdr:sp macro="" textlink="">
      <xdr:nvSpPr>
        <xdr:cNvPr id="10244" name="Text Box 4"/>
        <xdr:cNvSpPr txBox="1">
          <a:spLocks noChangeArrowheads="1"/>
        </xdr:cNvSpPr>
      </xdr:nvSpPr>
      <xdr:spPr bwMode="auto">
        <a:xfrm>
          <a:off x="609600" y="8982075"/>
          <a:ext cx="7391400" cy="62865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Geneva"/>
            </a:rPr>
            <a:t>4) From each cell's log count, subtract the average row effect and the average column effect.  What we're left with is relative log count in each cell (controling for size of all groups) or the relative log odds ratio of each cell.  The remaining cell values, purged of global mean, row effect and column effect correspond to the interaction coefficients in the saturated model (again using deviation coding).</a:t>
          </a:r>
        </a:p>
      </xdr:txBody>
    </xdr:sp>
    <xdr:clientData/>
  </xdr:twoCellAnchor>
  <xdr:twoCellAnchor>
    <xdr:from>
      <xdr:col>1</xdr:col>
      <xdr:colOff>66675</xdr:colOff>
      <xdr:row>101</xdr:row>
      <xdr:rowOff>133350</xdr:rowOff>
    </xdr:from>
    <xdr:to>
      <xdr:col>10</xdr:col>
      <xdr:colOff>38100</xdr:colOff>
      <xdr:row>160</xdr:row>
      <xdr:rowOff>19050</xdr:rowOff>
    </xdr:to>
    <xdr:sp macro="" textlink="">
      <xdr:nvSpPr>
        <xdr:cNvPr id="10246" name="Text Box 6"/>
        <xdr:cNvSpPr txBox="1">
          <a:spLocks noChangeArrowheads="1"/>
        </xdr:cNvSpPr>
      </xdr:nvSpPr>
      <xdr:spPr bwMode="auto">
        <a:xfrm>
          <a:off x="676275" y="15525750"/>
          <a:ext cx="5457825" cy="88773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576" tIns="27432" rIns="0" bIns="0" anchor="t" upright="1"/>
        <a:lstStyle/>
        <a:p>
          <a:pPr algn="l" rtl="0">
            <a:defRPr sz="1000"/>
          </a:pPr>
          <a:r>
            <a:rPr lang="en-US" sz="900" b="0" i="0" u="none" strike="noStrike" baseline="0">
              <a:solidFill>
                <a:srgbClr val="000000"/>
              </a:solidFill>
              <a:latin typeface="Courier New"/>
              <a:cs typeface="Courier New"/>
            </a:rPr>
            <a:t>Here's a saturated model for the left hand 5x5 table.</a:t>
          </a:r>
        </a:p>
        <a:p>
          <a:pPr algn="l" rtl="0">
            <a:defRPr sz="1000"/>
          </a:pPr>
          <a:endParaRPr lang="en-US" sz="900" b="0" i="0" u="none" strike="noStrike" baseline="0">
            <a:solidFill>
              <a:srgbClr val="000000"/>
            </a:solidFill>
            <a:latin typeface="Courier New"/>
            <a:cs typeface="Courier New"/>
          </a:endParaRP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desmat: poisson count meth*feth=dev(5)*dev(5) if mgen==2 &amp; fgen==2 &amp; year==90</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Poisson regression</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Dependent variable                                                    count</a:t>
          </a:r>
        </a:p>
        <a:p>
          <a:pPr algn="l" rtl="0">
            <a:defRPr sz="1000"/>
          </a:pPr>
          <a:r>
            <a:rPr lang="en-US" sz="900" b="0" i="0" u="none" strike="noStrike" baseline="0">
              <a:solidFill>
                <a:srgbClr val="000000"/>
              </a:solidFill>
              <a:latin typeface="Courier New"/>
              <a:cs typeface="Courier New"/>
            </a:rPr>
            <a:t>   Optimization:                                                            ml</a:t>
          </a:r>
        </a:p>
        <a:p>
          <a:pPr algn="l" rtl="0">
            <a:defRPr sz="1000"/>
          </a:pPr>
          <a:r>
            <a:rPr lang="en-US" sz="900" b="0" i="0" u="none" strike="noStrike" baseline="0">
              <a:solidFill>
                <a:srgbClr val="000000"/>
              </a:solidFill>
              <a:latin typeface="Courier New"/>
              <a:cs typeface="Courier New"/>
            </a:rPr>
            <a:t>   Number of observations:                                                  25</a:t>
          </a:r>
        </a:p>
        <a:p>
          <a:pPr algn="l" rtl="0">
            <a:defRPr sz="1000"/>
          </a:pPr>
          <a:r>
            <a:rPr lang="en-US" sz="900" b="0" i="0" u="none" strike="noStrike" baseline="0">
              <a:solidFill>
                <a:srgbClr val="000000"/>
              </a:solidFill>
              <a:latin typeface="Courier New"/>
              <a:cs typeface="Courier New"/>
            </a:rPr>
            <a:t>   Initial log likelihood:                                         -552219.594</a:t>
          </a:r>
        </a:p>
        <a:p>
          <a:pPr algn="l" rtl="0">
            <a:defRPr sz="1000"/>
          </a:pPr>
          <a:r>
            <a:rPr lang="en-US" sz="900" b="0" i="0" u="none" strike="noStrike" baseline="0">
              <a:solidFill>
                <a:srgbClr val="000000"/>
              </a:solidFill>
              <a:latin typeface="Courier New"/>
              <a:cs typeface="Courier New"/>
            </a:rPr>
            <a:t>   Log likelihood:                                                     -99.440</a:t>
          </a:r>
        </a:p>
        <a:p>
          <a:pPr algn="l" rtl="0">
            <a:defRPr sz="1000"/>
          </a:pPr>
          <a:r>
            <a:rPr lang="en-US" sz="900" b="0" i="0" u="none" strike="noStrike" baseline="0">
              <a:solidFill>
                <a:srgbClr val="000000"/>
              </a:solidFill>
              <a:latin typeface="Courier New"/>
              <a:cs typeface="Courier New"/>
            </a:rPr>
            <a:t>   LR chi square:                                                  1104240.308</a:t>
          </a:r>
        </a:p>
        <a:p>
          <a:pPr algn="l" rtl="0">
            <a:defRPr sz="1000"/>
          </a:pPr>
          <a:r>
            <a:rPr lang="en-US" sz="900" b="0" i="0" u="none" strike="noStrike" baseline="0">
              <a:solidFill>
                <a:srgbClr val="000000"/>
              </a:solidFill>
              <a:latin typeface="Courier New"/>
              <a:cs typeface="Courier New"/>
            </a:rPr>
            <a:t>   Model degrees of freedom:                                                24</a:t>
          </a:r>
        </a:p>
        <a:p>
          <a:pPr algn="l" rtl="0">
            <a:defRPr sz="1000"/>
          </a:pPr>
          <a:r>
            <a:rPr lang="en-US" sz="900" b="0" i="0" u="none" strike="noStrike" baseline="0">
              <a:solidFill>
                <a:srgbClr val="000000"/>
              </a:solidFill>
              <a:latin typeface="Courier New"/>
              <a:cs typeface="Courier New"/>
            </a:rPr>
            <a:t>   Pseudo R-squared:                                                     1.000</a:t>
          </a:r>
        </a:p>
        <a:p>
          <a:pPr algn="l" rtl="0">
            <a:defRPr sz="1000"/>
          </a:pPr>
          <a:r>
            <a:rPr lang="en-US" sz="900" b="0" i="0" u="none" strike="noStrike" baseline="0">
              <a:solidFill>
                <a:srgbClr val="000000"/>
              </a:solidFill>
              <a:latin typeface="Courier New"/>
              <a:cs typeface="Courier New"/>
            </a:rPr>
            <a:t>   Prob:                                                                 0.000</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nr Effect                                                    Coeff        s.e.</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count</a:t>
          </a:r>
        </a:p>
        <a:p>
          <a:pPr algn="l" rtl="0">
            <a:defRPr sz="1000"/>
          </a:pPr>
          <a:r>
            <a:rPr lang="en-US" sz="900" b="0" i="0" u="none" strike="noStrike" baseline="0">
              <a:solidFill>
                <a:srgbClr val="000000"/>
              </a:solidFill>
              <a:latin typeface="Courier New"/>
              <a:cs typeface="Courier New"/>
            </a:rPr>
            <a:t>     meth</a:t>
          </a:r>
        </a:p>
        <a:p>
          <a:pPr algn="l" rtl="0">
            <a:defRPr sz="1000"/>
          </a:pPr>
          <a:r>
            <a:rPr lang="en-US" sz="900" b="0" i="0" u="none" strike="noStrike" baseline="0">
              <a:solidFill>
                <a:srgbClr val="000000"/>
              </a:solidFill>
              <a:latin typeface="Courier New"/>
              <a:cs typeface="Courier New"/>
            </a:rPr>
            <a:t>1      Blk_NH                                               -0.184**     0.034</a:t>
          </a:r>
        </a:p>
        <a:p>
          <a:pPr algn="l" rtl="0">
            <a:defRPr sz="1000"/>
          </a:pPr>
          <a:r>
            <a:rPr lang="en-US" sz="900" b="0" i="0" u="none" strike="noStrike" baseline="0">
              <a:solidFill>
                <a:srgbClr val="000000"/>
              </a:solidFill>
              <a:latin typeface="Courier New"/>
              <a:cs typeface="Courier New"/>
            </a:rPr>
            <a:t>2      Mex_Am                                               -0.226**     0.036</a:t>
          </a:r>
        </a:p>
        <a:p>
          <a:pPr algn="l" rtl="0">
            <a:defRPr sz="1000"/>
          </a:pPr>
          <a:r>
            <a:rPr lang="en-US" sz="900" b="0" i="0" u="none" strike="noStrike" baseline="0">
              <a:solidFill>
                <a:srgbClr val="000000"/>
              </a:solidFill>
              <a:latin typeface="Courier New"/>
              <a:cs typeface="Courier New"/>
            </a:rPr>
            <a:t>3      Oth_H                                                -0.578**     0.034</a:t>
          </a:r>
        </a:p>
        <a:p>
          <a:pPr algn="l" rtl="0">
            <a:defRPr sz="1000"/>
          </a:pPr>
          <a:r>
            <a:rPr lang="en-US" sz="900" b="0" i="0" u="none" strike="noStrike" baseline="0">
              <a:solidFill>
                <a:srgbClr val="000000"/>
              </a:solidFill>
              <a:latin typeface="Courier New"/>
              <a:cs typeface="Courier New"/>
            </a:rPr>
            <a:t>4      Oth_NH                                               -0.856**     0.043</a:t>
          </a:r>
        </a:p>
        <a:p>
          <a:pPr algn="l" rtl="0">
            <a:defRPr sz="1000"/>
          </a:pPr>
          <a:r>
            <a:rPr lang="en-US" sz="900" b="0" i="0" u="none" strike="noStrike" baseline="0">
              <a:solidFill>
                <a:srgbClr val="000000"/>
              </a:solidFill>
              <a:latin typeface="Courier New"/>
              <a:cs typeface="Courier New"/>
            </a:rPr>
            <a:t>     feth</a:t>
          </a:r>
        </a:p>
        <a:p>
          <a:pPr algn="l" rtl="0">
            <a:defRPr sz="1000"/>
          </a:pPr>
          <a:r>
            <a:rPr lang="en-US" sz="900" b="0" i="0" u="none" strike="noStrike" baseline="0">
              <a:solidFill>
                <a:srgbClr val="000000"/>
              </a:solidFill>
              <a:latin typeface="Courier New"/>
              <a:cs typeface="Courier New"/>
            </a:rPr>
            <a:t>5      Blk_NH                                               -0.848**     0.047</a:t>
          </a:r>
        </a:p>
        <a:p>
          <a:pPr algn="l" rtl="0">
            <a:defRPr sz="1000"/>
          </a:pPr>
          <a:r>
            <a:rPr lang="en-US" sz="900" b="0" i="0" u="none" strike="noStrike" baseline="0">
              <a:solidFill>
                <a:srgbClr val="000000"/>
              </a:solidFill>
              <a:latin typeface="Courier New"/>
              <a:cs typeface="Courier New"/>
            </a:rPr>
            <a:t>6      Mex_Am                                               -0.044       0.031</a:t>
          </a:r>
        </a:p>
        <a:p>
          <a:pPr algn="l" rtl="0">
            <a:defRPr sz="1000"/>
          </a:pPr>
          <a:r>
            <a:rPr lang="en-US" sz="900" b="0" i="0" u="none" strike="noStrike" baseline="0">
              <a:solidFill>
                <a:srgbClr val="000000"/>
              </a:solidFill>
              <a:latin typeface="Courier New"/>
              <a:cs typeface="Courier New"/>
            </a:rPr>
            <a:t>7      Oth_H                                                -0.553**     0.034</a:t>
          </a:r>
        </a:p>
        <a:p>
          <a:pPr algn="l" rtl="0">
            <a:defRPr sz="1000"/>
          </a:pPr>
          <a:r>
            <a:rPr lang="en-US" sz="900" b="0" i="0" u="none" strike="noStrike" baseline="0">
              <a:solidFill>
                <a:srgbClr val="000000"/>
              </a:solidFill>
              <a:latin typeface="Courier New"/>
              <a:cs typeface="Courier New"/>
            </a:rPr>
            <a:t>8      Oth_NH                                               -0.607**     0.035</a:t>
          </a:r>
        </a:p>
        <a:p>
          <a:pPr algn="l" rtl="0">
            <a:defRPr sz="1000"/>
          </a:pPr>
          <a:r>
            <a:rPr lang="en-US" sz="900" b="0" i="0" u="none" strike="noStrike" baseline="0">
              <a:solidFill>
                <a:srgbClr val="000000"/>
              </a:solidFill>
              <a:latin typeface="Courier New"/>
              <a:cs typeface="Courier New"/>
            </a:rPr>
            <a:t>     meth.feth</a:t>
          </a:r>
        </a:p>
        <a:p>
          <a:pPr algn="l" rtl="0">
            <a:defRPr sz="1000"/>
          </a:pPr>
          <a:r>
            <a:rPr lang="en-US" sz="900" b="0" i="0" u="none" strike="noStrike" baseline="0">
              <a:solidFill>
                <a:srgbClr val="000000"/>
              </a:solidFill>
              <a:latin typeface="Courier New"/>
              <a:cs typeface="Courier New"/>
            </a:rPr>
            <a:t>9      Blk_NH.Blk_NH                                         4.309**     0.055</a:t>
          </a:r>
        </a:p>
        <a:p>
          <a:pPr algn="l" rtl="0">
            <a:defRPr sz="1000"/>
          </a:pPr>
          <a:r>
            <a:rPr lang="en-US" sz="900" b="0" i="0" u="none" strike="noStrike" baseline="0">
              <a:solidFill>
                <a:srgbClr val="000000"/>
              </a:solidFill>
              <a:latin typeface="Courier New"/>
              <a:cs typeface="Courier New"/>
            </a:rPr>
            <a:t>10     Blk_NH.Mex_Am                                        -1.197**     0.071</a:t>
          </a:r>
        </a:p>
        <a:p>
          <a:pPr algn="l" rtl="0">
            <a:defRPr sz="1000"/>
          </a:pPr>
          <a:r>
            <a:rPr lang="en-US" sz="900" b="0" i="0" u="none" strike="noStrike" baseline="0">
              <a:solidFill>
                <a:srgbClr val="000000"/>
              </a:solidFill>
              <a:latin typeface="Courier New"/>
              <a:cs typeface="Courier New"/>
            </a:rPr>
            <a:t>11     Blk_NH.Oth_H                                         -0.688**     0.073</a:t>
          </a:r>
        </a:p>
        <a:p>
          <a:pPr algn="l" rtl="0">
            <a:defRPr sz="1000"/>
          </a:pPr>
          <a:r>
            <a:rPr lang="en-US" sz="900" b="0" i="0" u="none" strike="noStrike" baseline="0">
              <a:solidFill>
                <a:srgbClr val="000000"/>
              </a:solidFill>
              <a:latin typeface="Courier New"/>
              <a:cs typeface="Courier New"/>
            </a:rPr>
            <a:t>12     Blk_NH.Oth_NH                                        -1.135**     0.087</a:t>
          </a:r>
        </a:p>
        <a:p>
          <a:pPr algn="l" rtl="0">
            <a:defRPr sz="1000"/>
          </a:pPr>
          <a:r>
            <a:rPr lang="en-US" sz="900" b="0" i="0" u="none" strike="noStrike" baseline="0">
              <a:solidFill>
                <a:srgbClr val="000000"/>
              </a:solidFill>
              <a:latin typeface="Courier New"/>
              <a:cs typeface="Courier New"/>
            </a:rPr>
            <a:t>13     Mex_Am.Blk_NH                                        -1.281**     0.107</a:t>
          </a:r>
        </a:p>
        <a:p>
          <a:pPr algn="l" rtl="0">
            <a:defRPr sz="1000"/>
          </a:pPr>
          <a:r>
            <a:rPr lang="en-US" sz="900" b="0" i="0" u="none" strike="noStrike" baseline="0">
              <a:solidFill>
                <a:srgbClr val="000000"/>
              </a:solidFill>
              <a:latin typeface="Courier New"/>
              <a:cs typeface="Courier New"/>
            </a:rPr>
            <a:t>14     Mex_Am.Mex_Am                                         2.675**     0.045</a:t>
          </a:r>
        </a:p>
        <a:p>
          <a:pPr algn="l" rtl="0">
            <a:defRPr sz="1000"/>
          </a:pPr>
          <a:r>
            <a:rPr lang="en-US" sz="900" b="0" i="0" u="none" strike="noStrike" baseline="0">
              <a:solidFill>
                <a:srgbClr val="000000"/>
              </a:solidFill>
              <a:latin typeface="Courier New"/>
              <a:cs typeface="Courier New"/>
            </a:rPr>
            <a:t>15     Mex_Am.Oth_H                                         -0.541**     0.071</a:t>
          </a:r>
        </a:p>
        <a:p>
          <a:pPr algn="l" rtl="0">
            <a:defRPr sz="1000"/>
          </a:pPr>
          <a:r>
            <a:rPr lang="en-US" sz="900" b="0" i="0" u="none" strike="noStrike" baseline="0">
              <a:solidFill>
                <a:srgbClr val="000000"/>
              </a:solidFill>
              <a:latin typeface="Courier New"/>
              <a:cs typeface="Courier New"/>
            </a:rPr>
            <a:t>16     Mex_Am.Oth_NH                                        -0.610**     0.075</a:t>
          </a:r>
        </a:p>
        <a:p>
          <a:pPr algn="l" rtl="0">
            <a:defRPr sz="1000"/>
          </a:pPr>
          <a:r>
            <a:rPr lang="en-US" sz="900" b="0" i="0" u="none" strike="noStrike" baseline="0">
              <a:solidFill>
                <a:srgbClr val="000000"/>
              </a:solidFill>
              <a:latin typeface="Courier New"/>
              <a:cs typeface="Courier New"/>
            </a:rPr>
            <a:t>17     Oth_H.Blk_NH                                         -0.333**     0.087</a:t>
          </a:r>
        </a:p>
        <a:p>
          <a:pPr algn="l" rtl="0">
            <a:defRPr sz="1000"/>
          </a:pPr>
          <a:r>
            <a:rPr lang="en-US" sz="900" b="0" i="0" u="none" strike="noStrike" baseline="0">
              <a:solidFill>
                <a:srgbClr val="000000"/>
              </a:solidFill>
              <a:latin typeface="Courier New"/>
              <a:cs typeface="Courier New"/>
            </a:rPr>
            <a:t>18     Oth_H.Mex_Am                                         -0.690**     0.069</a:t>
          </a:r>
        </a:p>
        <a:p>
          <a:pPr algn="l" rtl="0">
            <a:defRPr sz="1000"/>
          </a:pPr>
          <a:r>
            <a:rPr lang="en-US" sz="900" b="0" i="0" u="none" strike="noStrike" baseline="0">
              <a:solidFill>
                <a:srgbClr val="000000"/>
              </a:solidFill>
              <a:latin typeface="Courier New"/>
              <a:cs typeface="Courier New"/>
            </a:rPr>
            <a:t>19     Oth_H.Oth_H                                           2.103**     0.048</a:t>
          </a:r>
        </a:p>
        <a:p>
          <a:pPr algn="l" rtl="0">
            <a:defRPr sz="1000"/>
          </a:pPr>
          <a:r>
            <a:rPr lang="en-US" sz="900" b="0" i="0" u="none" strike="noStrike" baseline="0">
              <a:solidFill>
                <a:srgbClr val="000000"/>
              </a:solidFill>
              <a:latin typeface="Courier New"/>
              <a:cs typeface="Courier New"/>
            </a:rPr>
            <a:t>20     Oth_H.Oth_NH                                         -0.549**     0.081</a:t>
          </a:r>
        </a:p>
        <a:p>
          <a:pPr algn="l" rtl="0">
            <a:defRPr sz="1000"/>
          </a:pPr>
          <a:r>
            <a:rPr lang="en-US" sz="900" b="0" i="0" u="none" strike="noStrike" baseline="0">
              <a:solidFill>
                <a:srgbClr val="000000"/>
              </a:solidFill>
              <a:latin typeface="Courier New"/>
              <a:cs typeface="Courier New"/>
            </a:rPr>
            <a:t>21     Oth_NH.Blk_NH                                        -1.155**     0.133</a:t>
          </a:r>
        </a:p>
        <a:p>
          <a:pPr algn="l" rtl="0">
            <a:defRPr sz="1000"/>
          </a:pPr>
          <a:r>
            <a:rPr lang="en-US" sz="900" b="0" i="0" u="none" strike="noStrike" baseline="0">
              <a:solidFill>
                <a:srgbClr val="000000"/>
              </a:solidFill>
              <a:latin typeface="Courier New"/>
              <a:cs typeface="Courier New"/>
            </a:rPr>
            <a:t>22     Oth_NH.Mex_Am                                        -0.572**     0.077</a:t>
          </a:r>
        </a:p>
        <a:p>
          <a:pPr algn="l" rtl="0">
            <a:defRPr sz="1000"/>
          </a:pPr>
          <a:r>
            <a:rPr lang="en-US" sz="900" b="0" i="0" u="none" strike="noStrike" baseline="0">
              <a:solidFill>
                <a:srgbClr val="000000"/>
              </a:solidFill>
              <a:latin typeface="Courier New"/>
              <a:cs typeface="Courier New"/>
            </a:rPr>
            <a:t>23     Oth_NH.Oth_H                                         -0.580**     0.092</a:t>
          </a:r>
        </a:p>
        <a:p>
          <a:pPr algn="l" rtl="0">
            <a:defRPr sz="1000"/>
          </a:pPr>
          <a:r>
            <a:rPr lang="en-US" sz="900" b="0" i="0" u="none" strike="noStrike" baseline="0">
              <a:solidFill>
                <a:srgbClr val="000000"/>
              </a:solidFill>
              <a:latin typeface="Courier New"/>
              <a:cs typeface="Courier New"/>
            </a:rPr>
            <a:t>24     Oth_NH.Oth_NH                                         2.381**     0.056</a:t>
          </a:r>
        </a:p>
        <a:p>
          <a:pPr algn="l" rtl="0">
            <a:defRPr sz="1000"/>
          </a:pPr>
          <a:r>
            <a:rPr lang="en-US" sz="900" b="0" i="0" u="none" strike="noStrike" baseline="0">
              <a:solidFill>
                <a:srgbClr val="000000"/>
              </a:solidFill>
              <a:latin typeface="Courier New"/>
              <a:cs typeface="Courier New"/>
            </a:rPr>
            <a:t>25   _cons                                                   6.116**     0.017</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p &lt; .05</a:t>
          </a:r>
        </a:p>
        <a:p>
          <a:pPr algn="l" rtl="0">
            <a:defRPr sz="1000"/>
          </a:pPr>
          <a:r>
            <a:rPr lang="en-US" sz="900" b="0" i="0" u="none" strike="noStrike" baseline="0">
              <a:solidFill>
                <a:srgbClr val="000000"/>
              </a:solidFill>
              <a:latin typeface="Courier New"/>
              <a:cs typeface="Courier New"/>
            </a:rPr>
            <a:t>** p &lt; .01</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poisgof</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Goodness-of-fit chi2  = -.1208655</a:t>
          </a:r>
        </a:p>
        <a:p>
          <a:pPr algn="l" rtl="0">
            <a:defRPr sz="1000"/>
          </a:pPr>
          <a:r>
            <a:rPr lang="en-US" sz="900" b="0" i="0" u="none" strike="noStrike" baseline="0">
              <a:solidFill>
                <a:srgbClr val="000000"/>
              </a:solidFill>
              <a:latin typeface="Courier New"/>
              <a:cs typeface="Courier New"/>
            </a:rPr>
            <a:t>         Prob &gt; chi2(0)        =         .</a:t>
          </a:r>
        </a:p>
        <a:p>
          <a:pPr algn="l" rtl="0">
            <a:defRPr sz="1000"/>
          </a:pPr>
          <a:endParaRPr lang="en-US" sz="900" b="0" i="0" u="none" strike="noStrike" baseline="0">
            <a:solidFill>
              <a:srgbClr val="000000"/>
            </a:solidFill>
            <a:latin typeface="Courier New"/>
            <a:cs typeface="Courier New"/>
          </a:endParaRPr>
        </a:p>
      </xdr:txBody>
    </xdr:sp>
    <xdr:clientData/>
  </xdr:twoCellAnchor>
  <xdr:twoCellAnchor>
    <xdr:from>
      <xdr:col>0</xdr:col>
      <xdr:colOff>438150</xdr:colOff>
      <xdr:row>78</xdr:row>
      <xdr:rowOff>114300</xdr:rowOff>
    </xdr:from>
    <xdr:to>
      <xdr:col>9</xdr:col>
      <xdr:colOff>266700</xdr:colOff>
      <xdr:row>101</xdr:row>
      <xdr:rowOff>85725</xdr:rowOff>
    </xdr:to>
    <xdr:graphicFrame macro="">
      <xdr:nvGraphicFramePr>
        <xdr:cNvPr id="10247" name="Chart 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11</xdr:col>
      <xdr:colOff>0</xdr:colOff>
      <xdr:row>79</xdr:row>
      <xdr:rowOff>0</xdr:rowOff>
    </xdr:from>
    <xdr:to>
      <xdr:col>19</xdr:col>
      <xdr:colOff>447675</xdr:colOff>
      <xdr:row>101</xdr:row>
      <xdr:rowOff>133350</xdr:rowOff>
    </xdr:to>
    <xdr:graphicFrame macro="">
      <xdr:nvGraphicFramePr>
        <xdr:cNvPr id="10248" name="Chart 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10</xdr:col>
      <xdr:colOff>295275</xdr:colOff>
      <xdr:row>118</xdr:row>
      <xdr:rowOff>95250</xdr:rowOff>
    </xdr:from>
    <xdr:to>
      <xdr:col>15</xdr:col>
      <xdr:colOff>323850</xdr:colOff>
      <xdr:row>129</xdr:row>
      <xdr:rowOff>142875</xdr:rowOff>
    </xdr:to>
    <xdr:sp macro="" textlink="">
      <xdr:nvSpPr>
        <xdr:cNvPr id="10249" name="Text Box 9"/>
        <xdr:cNvSpPr txBox="1">
          <a:spLocks noChangeArrowheads="1"/>
        </xdr:cNvSpPr>
      </xdr:nvSpPr>
      <xdr:spPr bwMode="auto">
        <a:xfrm>
          <a:off x="6391275" y="18078450"/>
          <a:ext cx="3076575" cy="17240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Geneva"/>
            </a:rPr>
            <a:t>A quick note on how to make these 3-D graphs in Excel.</a:t>
          </a:r>
        </a:p>
        <a:p>
          <a:pPr algn="l" rtl="0">
            <a:defRPr sz="1000"/>
          </a:pPr>
          <a:r>
            <a:rPr lang="en-US" sz="900" b="0" i="0" u="none" strike="noStrike" baseline="0">
              <a:solidFill>
                <a:srgbClr val="000000"/>
              </a:solidFill>
              <a:latin typeface="Geneva"/>
            </a:rPr>
            <a:t>1) Chart type is '3-D Column'</a:t>
          </a:r>
        </a:p>
        <a:p>
          <a:pPr algn="l" rtl="0">
            <a:defRPr sz="1000"/>
          </a:pPr>
          <a:r>
            <a:rPr lang="en-US" sz="900" b="0" i="0" u="none" strike="noStrike" baseline="0">
              <a:solidFill>
                <a:srgbClr val="000000"/>
              </a:solidFill>
              <a:latin typeface="Geneva"/>
            </a:rPr>
            <a:t>2) Manually assign each series the same color, and select the 'invert if negative' box.  That way all positive values will be one color, and all negative values will be the other color (here the negative color is white)</a:t>
          </a:r>
        </a:p>
        <a:p>
          <a:pPr algn="l" rtl="0">
            <a:defRPr sz="1000"/>
          </a:pPr>
          <a:r>
            <a:rPr lang="en-US" sz="900" b="0" i="0" u="none" strike="noStrike" baseline="0">
              <a:solidFill>
                <a:srgbClr val="000000"/>
              </a:solidFill>
              <a:latin typeface="Geneva"/>
            </a:rPr>
            <a:t>3) Select the X and Y Axes.  Make sure that each axis scale is set to "1 category between tick marks".  Also, one of the two axes (either X or Y) should be set to 'reverse order', so that the main diagonal comes towards the viewer.</a:t>
          </a:r>
        </a:p>
      </xdr:txBody>
    </xdr:sp>
    <xdr:clientData/>
  </xdr:twoCellAnchor>
  <xdr:twoCellAnchor>
    <xdr:from>
      <xdr:col>10</xdr:col>
      <xdr:colOff>123825</xdr:colOff>
      <xdr:row>103</xdr:row>
      <xdr:rowOff>76200</xdr:rowOff>
    </xdr:from>
    <xdr:to>
      <xdr:col>15</xdr:col>
      <xdr:colOff>428625</xdr:colOff>
      <xdr:row>116</xdr:row>
      <xdr:rowOff>76200</xdr:rowOff>
    </xdr:to>
    <xdr:sp macro="" textlink="">
      <xdr:nvSpPr>
        <xdr:cNvPr id="10250" name="Text Box 10"/>
        <xdr:cNvSpPr txBox="1">
          <a:spLocks noChangeArrowheads="1"/>
        </xdr:cNvSpPr>
      </xdr:nvSpPr>
      <xdr:spPr bwMode="auto">
        <a:xfrm>
          <a:off x="6219825" y="15773400"/>
          <a:ext cx="3352800" cy="19812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Geneva"/>
            </a:rPr>
            <a:t>Advantages that this presentation has over the previous presentation (worksheet coef interp 2):</a:t>
          </a:r>
        </a:p>
        <a:p>
          <a:pPr algn="l" rtl="0">
            <a:defRPr sz="1000"/>
          </a:pPr>
          <a:r>
            <a:rPr lang="en-US" sz="900" b="0" i="0" u="none" strike="noStrike" baseline="0">
              <a:solidFill>
                <a:srgbClr val="000000"/>
              </a:solidFill>
              <a:latin typeface="Geneva"/>
            </a:rPr>
            <a:t>1) This presentation has the actual data, not the fitted data from an imperfect model.</a:t>
          </a:r>
        </a:p>
        <a:p>
          <a:pPr algn="l" rtl="0">
            <a:defRPr sz="1000"/>
          </a:pPr>
          <a:r>
            <a:rPr lang="en-US" sz="900" b="0" i="0" u="none" strike="noStrike" baseline="0">
              <a:solidFill>
                <a:srgbClr val="000000"/>
              </a:solidFill>
              <a:latin typeface="Geneva"/>
            </a:rPr>
            <a:t>2) This presentation has values for every one of the 25 cells, without leaving a complicated pattern of comparison cells.</a:t>
          </a:r>
        </a:p>
        <a:p>
          <a:pPr algn="l" rtl="0">
            <a:defRPr sz="1000"/>
          </a:pPr>
          <a:endParaRPr lang="en-US" sz="900" b="0" i="0" u="none" strike="noStrike" baseline="0">
            <a:solidFill>
              <a:srgbClr val="000000"/>
            </a:solidFill>
            <a:latin typeface="Geneva"/>
          </a:endParaRPr>
        </a:p>
        <a:p>
          <a:pPr algn="l" rtl="0">
            <a:defRPr sz="1000"/>
          </a:pPr>
          <a:r>
            <a:rPr lang="en-US" sz="900" b="0" i="0" u="none" strike="noStrike" baseline="0">
              <a:solidFill>
                <a:srgbClr val="000000"/>
              </a:solidFill>
              <a:latin typeface="Geneva"/>
            </a:rPr>
            <a:t>Like the previous worksheet, this analysis can be described with a loglinear model (in this case a saturated model with deviation coding), so that it would be possible to obtain standard errors for the contrasts in the second graph.</a:t>
          </a:r>
        </a:p>
      </xdr:txBody>
    </xdr:sp>
    <xdr:clientData/>
  </xdr:twoCellAnchor>
  <xdr:twoCellAnchor>
    <xdr:from>
      <xdr:col>16</xdr:col>
      <xdr:colOff>0</xdr:colOff>
      <xdr:row>103</xdr:row>
      <xdr:rowOff>133350</xdr:rowOff>
    </xdr:from>
    <xdr:to>
      <xdr:col>19</xdr:col>
      <xdr:colOff>114300</xdr:colOff>
      <xdr:row>117</xdr:row>
      <xdr:rowOff>95250</xdr:rowOff>
    </xdr:to>
    <xdr:sp macro="" textlink="">
      <xdr:nvSpPr>
        <xdr:cNvPr id="10251" name="Text Box 11"/>
        <xdr:cNvSpPr txBox="1">
          <a:spLocks noChangeArrowheads="1"/>
        </xdr:cNvSpPr>
      </xdr:nvSpPr>
      <xdr:spPr bwMode="auto">
        <a:xfrm>
          <a:off x="9753600" y="15830550"/>
          <a:ext cx="1943100" cy="20955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Geneva"/>
            </a:rPr>
            <a:t>Like the previous worksheet, this comparison shows that the strength of Black endogamy is much lower when the wife is an immigrant.  Similarly, Black-White and Black-Asian intermarriage is substantially stronger when one partner is an immigrant.</a:t>
          </a:r>
        </a:p>
      </xdr:txBody>
    </xdr:sp>
    <xdr:clientData/>
  </xdr:twoCellAnchor>
  <xdr:twoCellAnchor>
    <xdr:from>
      <xdr:col>1</xdr:col>
      <xdr:colOff>104775</xdr:colOff>
      <xdr:row>10</xdr:row>
      <xdr:rowOff>85725</xdr:rowOff>
    </xdr:from>
    <xdr:to>
      <xdr:col>10</xdr:col>
      <xdr:colOff>66675</xdr:colOff>
      <xdr:row>13</xdr:row>
      <xdr:rowOff>133350</xdr:rowOff>
    </xdr:to>
    <xdr:sp macro="" textlink="">
      <xdr:nvSpPr>
        <xdr:cNvPr id="10252" name="Text Box 12"/>
        <xdr:cNvSpPr txBox="1">
          <a:spLocks noChangeArrowheads="1"/>
        </xdr:cNvSpPr>
      </xdr:nvSpPr>
      <xdr:spPr bwMode="auto">
        <a:xfrm>
          <a:off x="714375" y="1609725"/>
          <a:ext cx="5448300" cy="5048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Geneva"/>
            </a:rPr>
            <a:t>1) Actual counts of couples from 2 of the 9 5x5 tables in the ethnicity*year*generation dataset.  All counts are greater than zero, but if any count were zero we would add 0.5 to all counts.</a:t>
          </a:r>
        </a:p>
      </xdr:txBody>
    </xdr:sp>
    <xdr:clientData/>
  </xdr:twoCellAnchor>
  <xdr:twoCellAnchor>
    <xdr:from>
      <xdr:col>11</xdr:col>
      <xdr:colOff>9525</xdr:colOff>
      <xdr:row>131</xdr:row>
      <xdr:rowOff>28575</xdr:rowOff>
    </xdr:from>
    <xdr:to>
      <xdr:col>18</xdr:col>
      <xdr:colOff>514350</xdr:colOff>
      <xdr:row>237</xdr:row>
      <xdr:rowOff>38100</xdr:rowOff>
    </xdr:to>
    <xdr:sp macro="" textlink="">
      <xdr:nvSpPr>
        <xdr:cNvPr id="10253" name="Text Box 13"/>
        <xdr:cNvSpPr txBox="1">
          <a:spLocks noChangeArrowheads="1"/>
        </xdr:cNvSpPr>
      </xdr:nvSpPr>
      <xdr:spPr bwMode="auto">
        <a:xfrm>
          <a:off x="6715125" y="19992975"/>
          <a:ext cx="4772025" cy="161639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Courier New"/>
              <a:cs typeface="Courier New"/>
            </a:rPr>
            <a:t>Here is the saturated model both 25 cell tables, ie all 50 cells. Here the meth.feth gives the saturated terms for the both US native couples (since foreign=1 and US born = 2 for mgen and fgen) and I'm using fgen=2 as the comparison case. It's a mixture of deviation coding (for eth*eth) and indicator coding (for foreign vs native born wives). The meth.feth.fgen terms are the same as the contrast terms we calculated by hand. Note that, since a 5x5 table provides 4x4=16 interactions, we don't get all the terms here, just 16 out of the 25. You would have to run the model 2 more times changing the comparison deviation comparison category for meth*feth to get the rest of the terms. Since there can be only 16 independent interactions in a 5x5 table, plotting all 25 interactions may seem a bit over zealous, but if you keep in mind that the reference category is arbitrary, you might as well show all the interactions.</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desmat: poisson count meth*feth*fgen=dev(5)*dev(5)*ind(2) if mgen==2  &amp; year==90</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Poisson regression</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Dependent variable                                      count</a:t>
          </a:r>
        </a:p>
        <a:p>
          <a:pPr algn="l" rtl="0">
            <a:defRPr sz="1000"/>
          </a:pPr>
          <a:r>
            <a:rPr lang="en-US" sz="900" b="0" i="0" u="none" strike="noStrike" baseline="0">
              <a:solidFill>
                <a:srgbClr val="000000"/>
              </a:solidFill>
              <a:latin typeface="Courier New"/>
              <a:cs typeface="Courier New"/>
            </a:rPr>
            <a:t>   Optimization:                                              ml</a:t>
          </a:r>
        </a:p>
        <a:p>
          <a:pPr algn="l" rtl="0">
            <a:defRPr sz="1000"/>
          </a:pPr>
          <a:r>
            <a:rPr lang="en-US" sz="900" b="0" i="0" u="none" strike="noStrike" baseline="0">
              <a:solidFill>
                <a:srgbClr val="000000"/>
              </a:solidFill>
              <a:latin typeface="Courier New"/>
              <a:cs typeface="Courier New"/>
            </a:rPr>
            <a:t>   Number of observations:                                    50</a:t>
          </a:r>
        </a:p>
        <a:p>
          <a:pPr algn="l" rtl="0">
            <a:defRPr sz="1000"/>
          </a:pPr>
          <a:r>
            <a:rPr lang="en-US" sz="900" b="0" i="0" u="none" strike="noStrike" baseline="0">
              <a:solidFill>
                <a:srgbClr val="000000"/>
              </a:solidFill>
              <a:latin typeface="Courier New"/>
              <a:cs typeface="Courier New"/>
            </a:rPr>
            <a:t>   Initial log likelihood:                           -685966.368</a:t>
          </a:r>
        </a:p>
        <a:p>
          <a:pPr algn="l" rtl="0">
            <a:defRPr sz="1000"/>
          </a:pPr>
          <a:r>
            <a:rPr lang="en-US" sz="900" b="0" i="0" u="none" strike="noStrike" baseline="0">
              <a:solidFill>
                <a:srgbClr val="000000"/>
              </a:solidFill>
              <a:latin typeface="Courier New"/>
              <a:cs typeface="Courier New"/>
            </a:rPr>
            <a:t>   Log likelihood:                                      -175.349</a:t>
          </a:r>
        </a:p>
        <a:p>
          <a:pPr algn="l" rtl="0">
            <a:defRPr sz="1000"/>
          </a:pPr>
          <a:r>
            <a:rPr lang="en-US" sz="900" b="0" i="0" u="none" strike="noStrike" baseline="0">
              <a:solidFill>
                <a:srgbClr val="000000"/>
              </a:solidFill>
              <a:latin typeface="Courier New"/>
              <a:cs typeface="Courier New"/>
            </a:rPr>
            <a:t>   LR chi square:                                    1371582.039</a:t>
          </a:r>
        </a:p>
        <a:p>
          <a:pPr algn="l" rtl="0">
            <a:defRPr sz="1000"/>
          </a:pPr>
          <a:r>
            <a:rPr lang="en-US" sz="900" b="0" i="0" u="none" strike="noStrike" baseline="0">
              <a:solidFill>
                <a:srgbClr val="000000"/>
              </a:solidFill>
              <a:latin typeface="Courier New"/>
              <a:cs typeface="Courier New"/>
            </a:rPr>
            <a:t>   Model degrees of freedom:                                  49</a:t>
          </a:r>
        </a:p>
        <a:p>
          <a:pPr algn="l" rtl="0">
            <a:defRPr sz="1000"/>
          </a:pPr>
          <a:r>
            <a:rPr lang="en-US" sz="900" b="0" i="0" u="none" strike="noStrike" baseline="0">
              <a:solidFill>
                <a:srgbClr val="000000"/>
              </a:solidFill>
              <a:latin typeface="Courier New"/>
              <a:cs typeface="Courier New"/>
            </a:rPr>
            <a:t>   Pseudo R-squared:                                       1.000</a:t>
          </a:r>
        </a:p>
        <a:p>
          <a:pPr algn="l" rtl="0">
            <a:defRPr sz="1000"/>
          </a:pPr>
          <a:r>
            <a:rPr lang="en-US" sz="900" b="0" i="0" u="none" strike="noStrike" baseline="0">
              <a:solidFill>
                <a:srgbClr val="000000"/>
              </a:solidFill>
              <a:latin typeface="Courier New"/>
              <a:cs typeface="Courier New"/>
            </a:rPr>
            <a:t>   Prob:                                                   0.000</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nr Effect                                      Coeff        s.e.</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count</a:t>
          </a:r>
        </a:p>
        <a:p>
          <a:pPr algn="l" rtl="0">
            <a:defRPr sz="1000"/>
          </a:pPr>
          <a:r>
            <a:rPr lang="en-US" sz="900" b="0" i="0" u="none" strike="noStrike" baseline="0">
              <a:solidFill>
                <a:srgbClr val="000000"/>
              </a:solidFill>
              <a:latin typeface="Courier New"/>
              <a:cs typeface="Courier New"/>
            </a:rPr>
            <a:t>     meth</a:t>
          </a:r>
        </a:p>
        <a:p>
          <a:pPr algn="l" rtl="0">
            <a:defRPr sz="1000"/>
          </a:pPr>
          <a:r>
            <a:rPr lang="en-US" sz="900" b="0" i="0" u="none" strike="noStrike" baseline="0">
              <a:solidFill>
                <a:srgbClr val="000000"/>
              </a:solidFill>
              <a:latin typeface="Courier New"/>
              <a:cs typeface="Courier New"/>
            </a:rPr>
            <a:t>1      Blk_NH                                 -0.184**     0.034</a:t>
          </a:r>
        </a:p>
        <a:p>
          <a:pPr algn="l" rtl="0">
            <a:defRPr sz="1000"/>
          </a:pPr>
          <a:r>
            <a:rPr lang="en-US" sz="900" b="0" i="0" u="none" strike="noStrike" baseline="0">
              <a:solidFill>
                <a:srgbClr val="000000"/>
              </a:solidFill>
              <a:latin typeface="Courier New"/>
              <a:cs typeface="Courier New"/>
            </a:rPr>
            <a:t>2      Mex_Am                                 -0.226**     0.036</a:t>
          </a:r>
        </a:p>
        <a:p>
          <a:pPr algn="l" rtl="0">
            <a:defRPr sz="1000"/>
          </a:pPr>
          <a:r>
            <a:rPr lang="en-US" sz="900" b="0" i="0" u="none" strike="noStrike" baseline="0">
              <a:solidFill>
                <a:srgbClr val="000000"/>
              </a:solidFill>
              <a:latin typeface="Courier New"/>
              <a:cs typeface="Courier New"/>
            </a:rPr>
            <a:t>3      Oth_H                                  -0.578**     0.034</a:t>
          </a:r>
        </a:p>
        <a:p>
          <a:pPr algn="l" rtl="0">
            <a:defRPr sz="1000"/>
          </a:pPr>
          <a:r>
            <a:rPr lang="en-US" sz="900" b="0" i="0" u="none" strike="noStrike" baseline="0">
              <a:solidFill>
                <a:srgbClr val="000000"/>
              </a:solidFill>
              <a:latin typeface="Courier New"/>
              <a:cs typeface="Courier New"/>
            </a:rPr>
            <a:t>4      Oth_NH                                 -0.856**     0.043</a:t>
          </a:r>
        </a:p>
        <a:p>
          <a:pPr algn="l" rtl="0">
            <a:defRPr sz="1000"/>
          </a:pPr>
          <a:r>
            <a:rPr lang="en-US" sz="900" b="0" i="0" u="none" strike="noStrike" baseline="0">
              <a:solidFill>
                <a:srgbClr val="000000"/>
              </a:solidFill>
              <a:latin typeface="Courier New"/>
              <a:cs typeface="Courier New"/>
            </a:rPr>
            <a:t>     feth</a:t>
          </a:r>
        </a:p>
        <a:p>
          <a:pPr algn="l" rtl="0">
            <a:defRPr sz="1000"/>
          </a:pPr>
          <a:r>
            <a:rPr lang="en-US" sz="900" b="0" i="0" u="none" strike="noStrike" baseline="0">
              <a:solidFill>
                <a:srgbClr val="000000"/>
              </a:solidFill>
              <a:latin typeface="Courier New"/>
              <a:cs typeface="Courier New"/>
            </a:rPr>
            <a:t>5      Blk_NH                                 -0.848**     0.047</a:t>
          </a:r>
        </a:p>
        <a:p>
          <a:pPr algn="l" rtl="0">
            <a:defRPr sz="1000"/>
          </a:pPr>
          <a:r>
            <a:rPr lang="en-US" sz="900" b="0" i="0" u="none" strike="noStrike" baseline="0">
              <a:solidFill>
                <a:srgbClr val="000000"/>
              </a:solidFill>
              <a:latin typeface="Courier New"/>
              <a:cs typeface="Courier New"/>
            </a:rPr>
            <a:t>6      Mex_Am                                 -0.044       0.031</a:t>
          </a:r>
        </a:p>
        <a:p>
          <a:pPr algn="l" rtl="0">
            <a:defRPr sz="1000"/>
          </a:pPr>
          <a:r>
            <a:rPr lang="en-US" sz="900" b="0" i="0" u="none" strike="noStrike" baseline="0">
              <a:solidFill>
                <a:srgbClr val="000000"/>
              </a:solidFill>
              <a:latin typeface="Courier New"/>
              <a:cs typeface="Courier New"/>
            </a:rPr>
            <a:t>7      Oth_H                                  -0.553**     0.034</a:t>
          </a:r>
        </a:p>
        <a:p>
          <a:pPr algn="l" rtl="0">
            <a:defRPr sz="1000"/>
          </a:pPr>
          <a:r>
            <a:rPr lang="en-US" sz="900" b="0" i="0" u="none" strike="noStrike" baseline="0">
              <a:solidFill>
                <a:srgbClr val="000000"/>
              </a:solidFill>
              <a:latin typeface="Courier New"/>
              <a:cs typeface="Courier New"/>
            </a:rPr>
            <a:t>8      Oth_NH                                 -0.607**     0.035</a:t>
          </a:r>
        </a:p>
        <a:p>
          <a:pPr algn="l" rtl="0">
            <a:defRPr sz="1000"/>
          </a:pPr>
          <a:r>
            <a:rPr lang="en-US" sz="900" b="0" i="0" u="none" strike="noStrike" baseline="0">
              <a:solidFill>
                <a:srgbClr val="000000"/>
              </a:solidFill>
              <a:latin typeface="Courier New"/>
              <a:cs typeface="Courier New"/>
            </a:rPr>
            <a:t>     </a:t>
          </a:r>
          <a:r>
            <a:rPr lang="en-US" sz="900" b="1" i="0" u="none" strike="noStrike" baseline="0">
              <a:solidFill>
                <a:srgbClr val="000000"/>
              </a:solidFill>
              <a:latin typeface="Courier New"/>
              <a:cs typeface="Courier New"/>
            </a:rPr>
            <a:t>meth.feth</a:t>
          </a:r>
        </a:p>
        <a:p>
          <a:pPr algn="l" rtl="0">
            <a:defRPr sz="1000"/>
          </a:pPr>
          <a:r>
            <a:rPr lang="en-US" sz="900" b="1" i="0" u="none" strike="noStrike" baseline="0">
              <a:solidFill>
                <a:srgbClr val="000000"/>
              </a:solidFill>
              <a:latin typeface="Courier New"/>
              <a:cs typeface="Courier New"/>
            </a:rPr>
            <a:t>9      Blk_NH.Blk_NH                           4.309**     0.055</a:t>
          </a:r>
        </a:p>
        <a:p>
          <a:pPr algn="l" rtl="0">
            <a:defRPr sz="1000"/>
          </a:pPr>
          <a:r>
            <a:rPr lang="en-US" sz="900" b="1" i="0" u="none" strike="noStrike" baseline="0">
              <a:solidFill>
                <a:srgbClr val="000000"/>
              </a:solidFill>
              <a:latin typeface="Courier New"/>
              <a:cs typeface="Courier New"/>
            </a:rPr>
            <a:t>10     Blk_NH.Mex_Am                          -1.197**     0.071</a:t>
          </a:r>
        </a:p>
        <a:p>
          <a:pPr algn="l" rtl="0">
            <a:defRPr sz="1000"/>
          </a:pPr>
          <a:r>
            <a:rPr lang="en-US" sz="900" b="1" i="0" u="none" strike="noStrike" baseline="0">
              <a:solidFill>
                <a:srgbClr val="000000"/>
              </a:solidFill>
              <a:latin typeface="Courier New"/>
              <a:cs typeface="Courier New"/>
            </a:rPr>
            <a:t>11     Blk_NH.Oth_H                           -0.688**     0.073</a:t>
          </a:r>
        </a:p>
        <a:p>
          <a:pPr algn="l" rtl="0">
            <a:defRPr sz="1000"/>
          </a:pPr>
          <a:r>
            <a:rPr lang="en-US" sz="900" b="1" i="0" u="none" strike="noStrike" baseline="0">
              <a:solidFill>
                <a:srgbClr val="000000"/>
              </a:solidFill>
              <a:latin typeface="Courier New"/>
              <a:cs typeface="Courier New"/>
            </a:rPr>
            <a:t>12     Blk_NH.Oth_NH                          -1.135**     0.087</a:t>
          </a:r>
        </a:p>
        <a:p>
          <a:pPr algn="l" rtl="0">
            <a:defRPr sz="1000"/>
          </a:pPr>
          <a:r>
            <a:rPr lang="en-US" sz="900" b="1" i="0" u="none" strike="noStrike" baseline="0">
              <a:solidFill>
                <a:srgbClr val="000000"/>
              </a:solidFill>
              <a:latin typeface="Courier New"/>
              <a:cs typeface="Courier New"/>
            </a:rPr>
            <a:t>13     Mex_Am.Blk_NH                          -1.281**     0.107</a:t>
          </a:r>
        </a:p>
        <a:p>
          <a:pPr algn="l" rtl="0">
            <a:defRPr sz="1000"/>
          </a:pPr>
          <a:r>
            <a:rPr lang="en-US" sz="900" b="1" i="0" u="none" strike="noStrike" baseline="0">
              <a:solidFill>
                <a:srgbClr val="000000"/>
              </a:solidFill>
              <a:latin typeface="Courier New"/>
              <a:cs typeface="Courier New"/>
            </a:rPr>
            <a:t>14     Mex_Am.Mex_Am                           2.675**     0.045</a:t>
          </a:r>
        </a:p>
        <a:p>
          <a:pPr algn="l" rtl="0">
            <a:defRPr sz="1000"/>
          </a:pPr>
          <a:r>
            <a:rPr lang="en-US" sz="900" b="1" i="0" u="none" strike="noStrike" baseline="0">
              <a:solidFill>
                <a:srgbClr val="000000"/>
              </a:solidFill>
              <a:latin typeface="Courier New"/>
              <a:cs typeface="Courier New"/>
            </a:rPr>
            <a:t>15     Mex_Am.Oth_H                           -0.541**     0.071</a:t>
          </a:r>
        </a:p>
        <a:p>
          <a:pPr algn="l" rtl="0">
            <a:defRPr sz="1000"/>
          </a:pPr>
          <a:r>
            <a:rPr lang="en-US" sz="900" b="1" i="0" u="none" strike="noStrike" baseline="0">
              <a:solidFill>
                <a:srgbClr val="000000"/>
              </a:solidFill>
              <a:latin typeface="Courier New"/>
              <a:cs typeface="Courier New"/>
            </a:rPr>
            <a:t>16     Mex_Am.Oth_NH                          -0.610**     0.075</a:t>
          </a:r>
        </a:p>
        <a:p>
          <a:pPr algn="l" rtl="0">
            <a:defRPr sz="1000"/>
          </a:pPr>
          <a:r>
            <a:rPr lang="en-US" sz="900" b="1" i="0" u="none" strike="noStrike" baseline="0">
              <a:solidFill>
                <a:srgbClr val="000000"/>
              </a:solidFill>
              <a:latin typeface="Courier New"/>
              <a:cs typeface="Courier New"/>
            </a:rPr>
            <a:t>17     Oth_H.Blk_NH                           -0.333**     0.087</a:t>
          </a:r>
        </a:p>
        <a:p>
          <a:pPr algn="l" rtl="0">
            <a:defRPr sz="1000"/>
          </a:pPr>
          <a:r>
            <a:rPr lang="en-US" sz="900" b="1" i="0" u="none" strike="noStrike" baseline="0">
              <a:solidFill>
                <a:srgbClr val="000000"/>
              </a:solidFill>
              <a:latin typeface="Courier New"/>
              <a:cs typeface="Courier New"/>
            </a:rPr>
            <a:t>18     Oth_H.Mex_Am                           -0.690**     0.069</a:t>
          </a:r>
        </a:p>
        <a:p>
          <a:pPr algn="l" rtl="0">
            <a:defRPr sz="1000"/>
          </a:pPr>
          <a:r>
            <a:rPr lang="en-US" sz="900" b="1" i="0" u="none" strike="noStrike" baseline="0">
              <a:solidFill>
                <a:srgbClr val="000000"/>
              </a:solidFill>
              <a:latin typeface="Courier New"/>
              <a:cs typeface="Courier New"/>
            </a:rPr>
            <a:t>19     Oth_H.Oth_H                             2.103**     0.048</a:t>
          </a:r>
        </a:p>
        <a:p>
          <a:pPr algn="l" rtl="0">
            <a:defRPr sz="1000"/>
          </a:pPr>
          <a:r>
            <a:rPr lang="en-US" sz="900" b="1" i="0" u="none" strike="noStrike" baseline="0">
              <a:solidFill>
                <a:srgbClr val="000000"/>
              </a:solidFill>
              <a:latin typeface="Courier New"/>
              <a:cs typeface="Courier New"/>
            </a:rPr>
            <a:t>20     Oth_H.Oth_NH                           -0.549**     0.081</a:t>
          </a:r>
        </a:p>
        <a:p>
          <a:pPr algn="l" rtl="0">
            <a:defRPr sz="1000"/>
          </a:pPr>
          <a:r>
            <a:rPr lang="en-US" sz="900" b="1" i="0" u="none" strike="noStrike" baseline="0">
              <a:solidFill>
                <a:srgbClr val="000000"/>
              </a:solidFill>
              <a:latin typeface="Courier New"/>
              <a:cs typeface="Courier New"/>
            </a:rPr>
            <a:t>21     Oth_NH.Blk_NH                          -1.155**     0.133</a:t>
          </a:r>
        </a:p>
        <a:p>
          <a:pPr algn="l" rtl="0">
            <a:defRPr sz="1000"/>
          </a:pPr>
          <a:r>
            <a:rPr lang="en-US" sz="900" b="1" i="0" u="none" strike="noStrike" baseline="0">
              <a:solidFill>
                <a:srgbClr val="000000"/>
              </a:solidFill>
              <a:latin typeface="Courier New"/>
              <a:cs typeface="Courier New"/>
            </a:rPr>
            <a:t>22     Oth_NH.Mex_Am                          -0.572**     0.077</a:t>
          </a:r>
        </a:p>
        <a:p>
          <a:pPr algn="l" rtl="0">
            <a:defRPr sz="1000"/>
          </a:pPr>
          <a:r>
            <a:rPr lang="en-US" sz="900" b="1" i="0" u="none" strike="noStrike" baseline="0">
              <a:solidFill>
                <a:srgbClr val="000000"/>
              </a:solidFill>
              <a:latin typeface="Courier New"/>
              <a:cs typeface="Courier New"/>
            </a:rPr>
            <a:t>23     Oth_NH.Oth_H                           -0.580**     0.092</a:t>
          </a:r>
        </a:p>
        <a:p>
          <a:pPr algn="l" rtl="0">
            <a:defRPr sz="1000"/>
          </a:pPr>
          <a:r>
            <a:rPr lang="en-US" sz="900" b="1" i="0" u="none" strike="noStrike" baseline="0">
              <a:solidFill>
                <a:srgbClr val="000000"/>
              </a:solidFill>
              <a:latin typeface="Courier New"/>
              <a:cs typeface="Courier New"/>
            </a:rPr>
            <a:t>24     Oth_NH.Oth_NH                           2.381**     0.056</a:t>
          </a: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fgen</a:t>
          </a:r>
        </a:p>
        <a:p>
          <a:pPr algn="l" rtl="0">
            <a:defRPr sz="1000"/>
          </a:pPr>
          <a:r>
            <a:rPr lang="en-US" sz="900" b="0" i="0" u="none" strike="noStrike" baseline="0">
              <a:solidFill>
                <a:srgbClr val="000000"/>
              </a:solidFill>
              <a:latin typeface="Courier New"/>
              <a:cs typeface="Courier New"/>
            </a:rPr>
            <a:t>25     foreign                                -1.894**     0.059</a:t>
          </a:r>
        </a:p>
        <a:p>
          <a:pPr algn="l" rtl="0">
            <a:defRPr sz="1000"/>
          </a:pPr>
          <a:r>
            <a:rPr lang="en-US" sz="900" b="0" i="0" u="none" strike="noStrike" baseline="0">
              <a:solidFill>
                <a:srgbClr val="000000"/>
              </a:solidFill>
              <a:latin typeface="Courier New"/>
              <a:cs typeface="Courier New"/>
            </a:rPr>
            <a:t>     meth.fgen</a:t>
          </a:r>
        </a:p>
        <a:p>
          <a:pPr algn="l" rtl="0">
            <a:defRPr sz="1000"/>
          </a:pPr>
          <a:r>
            <a:rPr lang="en-US" sz="900" b="0" i="0" u="none" strike="noStrike" baseline="0">
              <a:solidFill>
                <a:srgbClr val="000000"/>
              </a:solidFill>
              <a:latin typeface="Courier New"/>
              <a:cs typeface="Courier New"/>
            </a:rPr>
            <a:t>26     Blk_NH.foreign                          0.229**     0.080</a:t>
          </a:r>
        </a:p>
        <a:p>
          <a:pPr algn="l" rtl="0">
            <a:defRPr sz="1000"/>
          </a:pPr>
          <a:r>
            <a:rPr lang="en-US" sz="900" b="0" i="0" u="none" strike="noStrike" baseline="0">
              <a:solidFill>
                <a:srgbClr val="000000"/>
              </a:solidFill>
              <a:latin typeface="Courier New"/>
              <a:cs typeface="Courier New"/>
            </a:rPr>
            <a:t>27     Mex_Am.foreign                         -0.231       0.173</a:t>
          </a:r>
        </a:p>
        <a:p>
          <a:pPr algn="l" rtl="0">
            <a:defRPr sz="1000"/>
          </a:pPr>
          <a:r>
            <a:rPr lang="en-US" sz="900" b="0" i="0" u="none" strike="noStrike" baseline="0">
              <a:solidFill>
                <a:srgbClr val="000000"/>
              </a:solidFill>
              <a:latin typeface="Courier New"/>
              <a:cs typeface="Courier New"/>
            </a:rPr>
            <a:t>28     Oth_H.foreign                           0.244**     0.091</a:t>
          </a:r>
        </a:p>
        <a:p>
          <a:pPr algn="l" rtl="0">
            <a:defRPr sz="1000"/>
          </a:pPr>
          <a:r>
            <a:rPr lang="en-US" sz="900" b="0" i="0" u="none" strike="noStrike" baseline="0">
              <a:solidFill>
                <a:srgbClr val="000000"/>
              </a:solidFill>
              <a:latin typeface="Courier New"/>
              <a:cs typeface="Courier New"/>
            </a:rPr>
            <a:t>29     Oth_NH.foreign                         -0.344*      0.143</a:t>
          </a:r>
        </a:p>
        <a:p>
          <a:pPr algn="l" rtl="0">
            <a:defRPr sz="1000"/>
          </a:pPr>
          <a:r>
            <a:rPr lang="en-US" sz="900" b="0" i="0" u="none" strike="noStrike" baseline="0">
              <a:solidFill>
                <a:srgbClr val="000000"/>
              </a:solidFill>
              <a:latin typeface="Courier New"/>
              <a:cs typeface="Courier New"/>
            </a:rPr>
            <a:t>     feth.fgen</a:t>
          </a:r>
        </a:p>
        <a:p>
          <a:pPr algn="l" rtl="0">
            <a:defRPr sz="1000"/>
          </a:pPr>
          <a:r>
            <a:rPr lang="en-US" sz="900" b="0" i="0" u="none" strike="noStrike" baseline="0">
              <a:solidFill>
                <a:srgbClr val="000000"/>
              </a:solidFill>
              <a:latin typeface="Courier New"/>
              <a:cs typeface="Courier New"/>
            </a:rPr>
            <a:t>30     Blk_NH.foreign                         -0.934**     0.210</a:t>
          </a:r>
        </a:p>
        <a:p>
          <a:pPr algn="l" rtl="0">
            <a:defRPr sz="1000"/>
          </a:pPr>
          <a:r>
            <a:rPr lang="en-US" sz="900" b="0" i="0" u="none" strike="noStrike" baseline="0">
              <a:solidFill>
                <a:srgbClr val="000000"/>
              </a:solidFill>
              <a:latin typeface="Courier New"/>
              <a:cs typeface="Courier New"/>
            </a:rPr>
            <a:t>31     Mex_Am.foreign                          0.251**     0.085</a:t>
          </a:r>
        </a:p>
        <a:p>
          <a:pPr algn="l" rtl="0">
            <a:defRPr sz="1000"/>
          </a:pPr>
          <a:r>
            <a:rPr lang="en-US" sz="900" b="0" i="0" u="none" strike="noStrike" baseline="0">
              <a:solidFill>
                <a:srgbClr val="000000"/>
              </a:solidFill>
              <a:latin typeface="Courier New"/>
              <a:cs typeface="Courier New"/>
            </a:rPr>
            <a:t>32     Oth_H.foreign                           1.112**     0.080</a:t>
          </a:r>
        </a:p>
        <a:p>
          <a:pPr algn="l" rtl="0">
            <a:defRPr sz="1000"/>
          </a:pPr>
          <a:r>
            <a:rPr lang="en-US" sz="900" b="0" i="0" u="none" strike="noStrike" baseline="0">
              <a:solidFill>
                <a:srgbClr val="000000"/>
              </a:solidFill>
              <a:latin typeface="Courier New"/>
              <a:cs typeface="Courier New"/>
            </a:rPr>
            <a:t>33     Oth_NH.foreign                          1.119**     0.078</a:t>
          </a:r>
        </a:p>
        <a:p>
          <a:pPr algn="l" rtl="0">
            <a:defRPr sz="1000"/>
          </a:pPr>
          <a:r>
            <a:rPr lang="en-US" sz="900" b="1" i="0" u="none" strike="noStrike" baseline="0">
              <a:solidFill>
                <a:srgbClr val="000000"/>
              </a:solidFill>
              <a:latin typeface="Courier New"/>
              <a:cs typeface="Courier New"/>
            </a:rPr>
            <a:t>     meth.feth.fgen</a:t>
          </a:r>
        </a:p>
        <a:p>
          <a:pPr algn="l" rtl="0">
            <a:defRPr sz="1000"/>
          </a:pPr>
          <a:r>
            <a:rPr lang="en-US" sz="900" b="1" i="0" u="none" strike="noStrike" baseline="0">
              <a:solidFill>
                <a:srgbClr val="000000"/>
              </a:solidFill>
              <a:latin typeface="Courier New"/>
              <a:cs typeface="Courier New"/>
            </a:rPr>
            <a:t>34     Blk_NH.Blk_NH.foreign                  -1.356**     0.221</a:t>
          </a:r>
        </a:p>
        <a:p>
          <a:pPr algn="l" rtl="0">
            <a:defRPr sz="1000"/>
          </a:pPr>
          <a:r>
            <a:rPr lang="en-US" sz="900" b="1" i="0" u="none" strike="noStrike" baseline="0">
              <a:solidFill>
                <a:srgbClr val="000000"/>
              </a:solidFill>
              <a:latin typeface="Courier New"/>
              <a:cs typeface="Courier New"/>
            </a:rPr>
            <a:t>35     Blk_NH.Mex_Am.foreign                  -0.018       0.165</a:t>
          </a:r>
        </a:p>
        <a:p>
          <a:pPr algn="l" rtl="0">
            <a:defRPr sz="1000"/>
          </a:pPr>
          <a:r>
            <a:rPr lang="en-US" sz="900" b="1" i="0" u="none" strike="noStrike" baseline="0">
              <a:solidFill>
                <a:srgbClr val="000000"/>
              </a:solidFill>
              <a:latin typeface="Courier New"/>
              <a:cs typeface="Courier New"/>
            </a:rPr>
            <a:t>36     Blk_NH.Oth_H.foreign                   -0.044       0.136</a:t>
          </a:r>
        </a:p>
        <a:p>
          <a:pPr algn="l" rtl="0">
            <a:defRPr sz="1000"/>
          </a:pPr>
          <a:r>
            <a:rPr lang="en-US" sz="900" b="1" i="0" u="none" strike="noStrike" baseline="0">
              <a:solidFill>
                <a:srgbClr val="000000"/>
              </a:solidFill>
              <a:latin typeface="Courier New"/>
              <a:cs typeface="Courier New"/>
            </a:rPr>
            <a:t>37     Blk_NH.Oth_NH.foreign                   0.726**     0.138</a:t>
          </a:r>
        </a:p>
        <a:p>
          <a:pPr algn="l" rtl="0">
            <a:defRPr sz="1000"/>
          </a:pPr>
          <a:r>
            <a:rPr lang="en-US" sz="900" b="1" i="0" u="none" strike="noStrike" baseline="0">
              <a:solidFill>
                <a:srgbClr val="000000"/>
              </a:solidFill>
              <a:latin typeface="Courier New"/>
              <a:cs typeface="Courier New"/>
            </a:rPr>
            <a:t>38     Mex_Am.Blk_NH.foreign                  -0.702       0.662</a:t>
          </a:r>
        </a:p>
        <a:p>
          <a:pPr algn="l" rtl="0">
            <a:defRPr sz="1000"/>
          </a:pPr>
          <a:r>
            <a:rPr lang="en-US" sz="900" b="1" i="0" u="none" strike="noStrike" baseline="0">
              <a:solidFill>
                <a:srgbClr val="000000"/>
              </a:solidFill>
              <a:latin typeface="Courier New"/>
              <a:cs typeface="Courier New"/>
            </a:rPr>
            <a:t>39     Mex_Am.Mex_Am.foreign                   0.131       0.185</a:t>
          </a:r>
        </a:p>
        <a:p>
          <a:pPr algn="l" rtl="0">
            <a:defRPr sz="1000"/>
          </a:pPr>
          <a:r>
            <a:rPr lang="en-US" sz="900" b="1" i="0" u="none" strike="noStrike" baseline="0">
              <a:solidFill>
                <a:srgbClr val="000000"/>
              </a:solidFill>
              <a:latin typeface="Courier New"/>
              <a:cs typeface="Courier New"/>
            </a:rPr>
            <a:t>40     Mex_Am.Oth_H.foreign                    0.407*      0.203</a:t>
          </a:r>
        </a:p>
        <a:p>
          <a:pPr algn="l" rtl="0">
            <a:defRPr sz="1000"/>
          </a:pPr>
          <a:r>
            <a:rPr lang="en-US" sz="900" b="1" i="0" u="none" strike="noStrike" baseline="0">
              <a:solidFill>
                <a:srgbClr val="000000"/>
              </a:solidFill>
              <a:latin typeface="Courier New"/>
              <a:cs typeface="Courier New"/>
            </a:rPr>
            <a:t>41     Mex_Am.Oth_NH.foreign                   0.094       0.210</a:t>
          </a:r>
        </a:p>
        <a:p>
          <a:pPr algn="l" rtl="0">
            <a:defRPr sz="1000"/>
          </a:pPr>
          <a:r>
            <a:rPr lang="en-US" sz="900" b="1" i="0" u="none" strike="noStrike" baseline="0">
              <a:solidFill>
                <a:srgbClr val="000000"/>
              </a:solidFill>
              <a:latin typeface="Courier New"/>
              <a:cs typeface="Courier New"/>
            </a:rPr>
            <a:t>42     Oth_H.Blk_NH.foreign                    0.713*      0.289</a:t>
          </a:r>
        </a:p>
        <a:p>
          <a:pPr algn="l" rtl="0">
            <a:defRPr sz="1000"/>
          </a:pPr>
          <a:r>
            <a:rPr lang="en-US" sz="900" b="1" i="0" u="none" strike="noStrike" baseline="0">
              <a:solidFill>
                <a:srgbClr val="000000"/>
              </a:solidFill>
              <a:latin typeface="Courier New"/>
              <a:cs typeface="Courier New"/>
            </a:rPr>
            <a:t>43     Oth_H.Mex_Am.foreign                    0.179       0.158</a:t>
          </a:r>
        </a:p>
        <a:p>
          <a:pPr algn="l" rtl="0">
            <a:defRPr sz="1000"/>
          </a:pPr>
          <a:r>
            <a:rPr lang="en-US" sz="900" b="1" i="0" u="none" strike="noStrike" baseline="0">
              <a:solidFill>
                <a:srgbClr val="000000"/>
              </a:solidFill>
              <a:latin typeface="Courier New"/>
              <a:cs typeface="Courier New"/>
            </a:rPr>
            <a:t>44     Oth_H.Oth_H.foreign                    -0.374**     0.111</a:t>
          </a:r>
        </a:p>
        <a:p>
          <a:pPr algn="l" rtl="0">
            <a:defRPr sz="1000"/>
          </a:pPr>
          <a:r>
            <a:rPr lang="en-US" sz="900" b="1" i="0" u="none" strike="noStrike" baseline="0">
              <a:solidFill>
                <a:srgbClr val="000000"/>
              </a:solidFill>
              <a:latin typeface="Courier New"/>
              <a:cs typeface="Courier New"/>
            </a:rPr>
            <a:t>45     Oth_H.Oth_NH.foreign                   -0.295       0.161</a:t>
          </a:r>
        </a:p>
        <a:p>
          <a:pPr algn="l" rtl="0">
            <a:defRPr sz="1000"/>
          </a:pPr>
          <a:r>
            <a:rPr lang="en-US" sz="900" b="1" i="0" u="none" strike="noStrike" baseline="0">
              <a:solidFill>
                <a:srgbClr val="000000"/>
              </a:solidFill>
              <a:latin typeface="Courier New"/>
              <a:cs typeface="Courier New"/>
            </a:rPr>
            <a:t>46     Oth_NH.Blk_NH.foreign                   0.607       0.505</a:t>
          </a:r>
        </a:p>
        <a:p>
          <a:pPr algn="l" rtl="0">
            <a:defRPr sz="1000"/>
          </a:pPr>
          <a:r>
            <a:rPr lang="en-US" sz="900" b="1" i="0" u="none" strike="noStrike" baseline="0">
              <a:solidFill>
                <a:srgbClr val="000000"/>
              </a:solidFill>
              <a:latin typeface="Courier New"/>
              <a:cs typeface="Courier New"/>
            </a:rPr>
            <a:t>47     Oth_NH.Mex_Am.foreign                   0.177       0.221</a:t>
          </a:r>
        </a:p>
        <a:p>
          <a:pPr algn="l" rtl="0">
            <a:defRPr sz="1000"/>
          </a:pPr>
          <a:r>
            <a:rPr lang="en-US" sz="900" b="1" i="0" u="none" strike="noStrike" baseline="0">
              <a:solidFill>
                <a:srgbClr val="000000"/>
              </a:solidFill>
              <a:latin typeface="Courier New"/>
              <a:cs typeface="Courier New"/>
            </a:rPr>
            <a:t>48     Oth_NH.Oth_H.foreign                   -0.005       0.217</a:t>
          </a:r>
        </a:p>
        <a:p>
          <a:pPr algn="l" rtl="0">
            <a:defRPr sz="1000"/>
          </a:pPr>
          <a:r>
            <a:rPr lang="en-US" sz="900" b="1" i="0" u="none" strike="noStrike" baseline="0">
              <a:solidFill>
                <a:srgbClr val="000000"/>
              </a:solidFill>
              <a:latin typeface="Courier New"/>
              <a:cs typeface="Courier New"/>
            </a:rPr>
            <a:t>49     Oth_NH.Oth_NH.foreign                  -0.853**     0.161</a:t>
          </a: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50   _cons                                     6.116**     0.017</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p &lt; .05</a:t>
          </a:r>
        </a:p>
        <a:p>
          <a:pPr algn="l" rtl="0">
            <a:defRPr sz="1000"/>
          </a:pPr>
          <a:r>
            <a:rPr lang="en-US" sz="900" b="0" i="0" u="none" strike="noStrike" baseline="0">
              <a:solidFill>
                <a:srgbClr val="000000"/>
              </a:solidFill>
              <a:latin typeface="Courier New"/>
              <a:cs typeface="Courier New"/>
            </a:rPr>
            <a:t>** p &lt; .01</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poisgof</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Goodness-of-fit chi2  =  .1972297</a:t>
          </a:r>
        </a:p>
        <a:p>
          <a:pPr algn="l" rtl="0">
            <a:defRPr sz="1000"/>
          </a:pPr>
          <a:r>
            <a:rPr lang="en-US" sz="900" b="0" i="0" u="none" strike="noStrike" baseline="0">
              <a:solidFill>
                <a:srgbClr val="000000"/>
              </a:solidFill>
              <a:latin typeface="Courier New"/>
              <a:cs typeface="Courier New"/>
            </a:rPr>
            <a:t>         Prob &gt; chi2(0)        =         .</a:t>
          </a:r>
        </a:p>
        <a:p>
          <a:pPr algn="l" rtl="0">
            <a:defRPr sz="1000"/>
          </a:pPr>
          <a:endParaRPr lang="en-US" sz="900" b="0" i="0" u="none" strike="noStrike" baseline="0">
            <a:solidFill>
              <a:srgbClr val="000000"/>
            </a:solidFill>
            <a:latin typeface="Courier New"/>
            <a:cs typeface="Courier New"/>
          </a:endParaRP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1</xdr:col>
      <xdr:colOff>0</xdr:colOff>
      <xdr:row>1</xdr:row>
      <xdr:rowOff>66675</xdr:rowOff>
    </xdr:from>
    <xdr:to>
      <xdr:col>7</xdr:col>
      <xdr:colOff>123825</xdr:colOff>
      <xdr:row>5</xdr:row>
      <xdr:rowOff>76200</xdr:rowOff>
    </xdr:to>
    <xdr:sp macro="" textlink="">
      <xdr:nvSpPr>
        <xdr:cNvPr id="13313" name="Text Box 1"/>
        <xdr:cNvSpPr txBox="1">
          <a:spLocks noChangeArrowheads="1"/>
        </xdr:cNvSpPr>
      </xdr:nvSpPr>
      <xdr:spPr bwMode="auto">
        <a:xfrm>
          <a:off x="609600" y="219075"/>
          <a:ext cx="3781425" cy="6191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Geneva"/>
            </a:rPr>
            <a:t>This is a quick graphical comparison of continuous and categorical measures of ethnic endogamy change over time, the comparison of models 7a and 7b from homework 3</a:t>
          </a:r>
        </a:p>
      </xdr:txBody>
    </xdr:sp>
    <xdr:clientData/>
  </xdr:twoCellAnchor>
  <xdr:twoCellAnchor>
    <xdr:from>
      <xdr:col>3</xdr:col>
      <xdr:colOff>104775</xdr:colOff>
      <xdr:row>16</xdr:row>
      <xdr:rowOff>114300</xdr:rowOff>
    </xdr:from>
    <xdr:to>
      <xdr:col>9</xdr:col>
      <xdr:colOff>438150</xdr:colOff>
      <xdr:row>41</xdr:row>
      <xdr:rowOff>28575</xdr:rowOff>
    </xdr:to>
    <xdr:graphicFrame macro="">
      <xdr:nvGraphicFramePr>
        <xdr:cNvPr id="13314"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209550</xdr:colOff>
      <xdr:row>19</xdr:row>
      <xdr:rowOff>19050</xdr:rowOff>
    </xdr:from>
    <xdr:to>
      <xdr:col>2</xdr:col>
      <xdr:colOff>419100</xdr:colOff>
      <xdr:row>31</xdr:row>
      <xdr:rowOff>0</xdr:rowOff>
    </xdr:to>
    <xdr:sp macro="" textlink="">
      <xdr:nvSpPr>
        <xdr:cNvPr id="13315" name="Text Box 3"/>
        <xdr:cNvSpPr txBox="1">
          <a:spLocks noChangeArrowheads="1"/>
        </xdr:cNvSpPr>
      </xdr:nvSpPr>
      <xdr:spPr bwMode="auto">
        <a:xfrm>
          <a:off x="209550" y="2914650"/>
          <a:ext cx="1428750" cy="180975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Geneva"/>
            </a:rPr>
            <a:t>Note the nonlinearity of categories 3 and 4. That's why the categorical model fits better than the linear model.</a:t>
          </a:r>
        </a:p>
      </xdr:txBody>
    </xdr:sp>
    <xdr:clientData/>
  </xdr:twoCellAnchor>
  <xdr:twoCellAnchor>
    <xdr:from>
      <xdr:col>10</xdr:col>
      <xdr:colOff>0</xdr:colOff>
      <xdr:row>17</xdr:row>
      <xdr:rowOff>0</xdr:rowOff>
    </xdr:from>
    <xdr:to>
      <xdr:col>16</xdr:col>
      <xdr:colOff>342900</xdr:colOff>
      <xdr:row>41</xdr:row>
      <xdr:rowOff>76200</xdr:rowOff>
    </xdr:to>
    <xdr:graphicFrame macro="">
      <xdr:nvGraphicFramePr>
        <xdr:cNvPr id="13316"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9.xml><?xml version="1.0" encoding="utf-8"?>
<xdr:wsDr xmlns:xdr="http://schemas.openxmlformats.org/drawingml/2006/spreadsheetDrawing" xmlns:a="http://schemas.openxmlformats.org/drawingml/2006/main">
  <xdr:twoCellAnchor>
    <xdr:from>
      <xdr:col>1</xdr:col>
      <xdr:colOff>333375</xdr:colOff>
      <xdr:row>2</xdr:row>
      <xdr:rowOff>123825</xdr:rowOff>
    </xdr:from>
    <xdr:to>
      <xdr:col>9</xdr:col>
      <xdr:colOff>104775</xdr:colOff>
      <xdr:row>6</xdr:row>
      <xdr:rowOff>19050</xdr:rowOff>
    </xdr:to>
    <xdr:sp macro="" textlink="">
      <xdr:nvSpPr>
        <xdr:cNvPr id="14337" name="Text Box 1"/>
        <xdr:cNvSpPr txBox="1">
          <a:spLocks noChangeArrowheads="1"/>
        </xdr:cNvSpPr>
      </xdr:nvSpPr>
      <xdr:spPr bwMode="auto">
        <a:xfrm>
          <a:off x="942975" y="428625"/>
          <a:ext cx="4648200" cy="5048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Geneva"/>
            </a:rPr>
            <a:t>4 Models of Clogg and Eliason's (1987) data, see their tables 5 and 6</a:t>
          </a:r>
        </a:p>
      </xdr:txBody>
    </xdr:sp>
    <xdr:clientData/>
  </xdr:twoCellAnchor>
  <xdr:twoCellAnchor>
    <xdr:from>
      <xdr:col>0</xdr:col>
      <xdr:colOff>190500</xdr:colOff>
      <xdr:row>15</xdr:row>
      <xdr:rowOff>114300</xdr:rowOff>
    </xdr:from>
    <xdr:to>
      <xdr:col>7</xdr:col>
      <xdr:colOff>76200</xdr:colOff>
      <xdr:row>67</xdr:row>
      <xdr:rowOff>38100</xdr:rowOff>
    </xdr:to>
    <xdr:sp macro="" textlink="">
      <xdr:nvSpPr>
        <xdr:cNvPr id="14338" name="Text Box 2"/>
        <xdr:cNvSpPr txBox="1">
          <a:spLocks noChangeArrowheads="1"/>
        </xdr:cNvSpPr>
      </xdr:nvSpPr>
      <xdr:spPr bwMode="auto">
        <a:xfrm>
          <a:off x="190500" y="2400300"/>
          <a:ext cx="4152900" cy="78486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800" b="0" i="0" u="none" strike="noStrike" baseline="0">
              <a:solidFill>
                <a:srgbClr val="000000"/>
              </a:solidFill>
              <a:latin typeface="Courier New"/>
              <a:cs typeface="Courier New"/>
            </a:rPr>
            <a:t>M1, unweighted data, C+E's model 1</a:t>
          </a:r>
        </a:p>
        <a:p>
          <a:pPr algn="l" rtl="0">
            <a:defRPr sz="1000"/>
          </a:pPr>
          <a:r>
            <a:rPr lang="en-US" sz="800" b="0" i="0" u="none" strike="noStrike" baseline="0">
              <a:solidFill>
                <a:srgbClr val="000000"/>
              </a:solidFill>
              <a:latin typeface="Courier New"/>
              <a:cs typeface="Courier New"/>
            </a:rPr>
            <a:t> desmat: poisson  uwcount labor*sex=dev(3)*dev(2) labor*color=dev(3)*dev(3) sex*color=dev(2)*dev(3)</a:t>
          </a: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   Poisson regression</a:t>
          </a: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   Dependent variable                               uwcount</a:t>
          </a:r>
        </a:p>
        <a:p>
          <a:pPr algn="l" rtl="0">
            <a:defRPr sz="1000"/>
          </a:pPr>
          <a:r>
            <a:rPr lang="en-US" sz="800" b="0" i="0" u="none" strike="noStrike" baseline="0">
              <a:solidFill>
                <a:srgbClr val="000000"/>
              </a:solidFill>
              <a:latin typeface="Courier New"/>
              <a:cs typeface="Courier New"/>
            </a:rPr>
            <a:t>   Optimization:                                         ml</a:t>
          </a:r>
        </a:p>
        <a:p>
          <a:pPr algn="l" rtl="0">
            <a:defRPr sz="1000"/>
          </a:pPr>
          <a:r>
            <a:rPr lang="en-US" sz="800" b="0" i="0" u="none" strike="noStrike" baseline="0">
              <a:solidFill>
                <a:srgbClr val="000000"/>
              </a:solidFill>
              <a:latin typeface="Courier New"/>
              <a:cs typeface="Courier New"/>
            </a:rPr>
            <a:t>   Number of observations:                               18</a:t>
          </a:r>
        </a:p>
        <a:p>
          <a:pPr algn="l" rtl="0">
            <a:defRPr sz="1000"/>
          </a:pPr>
          <a:r>
            <a:rPr lang="en-US" sz="800" b="0" i="0" u="none" strike="noStrike" baseline="0">
              <a:solidFill>
                <a:srgbClr val="000000"/>
              </a:solidFill>
              <a:latin typeface="Courier New"/>
              <a:cs typeface="Courier New"/>
            </a:rPr>
            <a:t>   Initial log likelihood:                       -81627.074</a:t>
          </a:r>
        </a:p>
        <a:p>
          <a:pPr algn="l" rtl="0">
            <a:defRPr sz="1000"/>
          </a:pPr>
          <a:r>
            <a:rPr lang="en-US" sz="800" b="0" i="0" u="none" strike="noStrike" baseline="0">
              <a:solidFill>
                <a:srgbClr val="000000"/>
              </a:solidFill>
              <a:latin typeface="Courier New"/>
              <a:cs typeface="Courier New"/>
            </a:rPr>
            <a:t>   Log likelihood:                                 -123.390</a:t>
          </a:r>
        </a:p>
        <a:p>
          <a:pPr algn="l" rtl="0">
            <a:defRPr sz="1000"/>
          </a:pPr>
          <a:r>
            <a:rPr lang="en-US" sz="800" b="0" i="0" u="none" strike="noStrike" baseline="0">
              <a:solidFill>
                <a:srgbClr val="000000"/>
              </a:solidFill>
              <a:latin typeface="Courier New"/>
              <a:cs typeface="Courier New"/>
            </a:rPr>
            <a:t>   LR chi square:                                163007.367</a:t>
          </a:r>
        </a:p>
        <a:p>
          <a:pPr algn="l" rtl="0">
            <a:defRPr sz="1000"/>
          </a:pPr>
          <a:r>
            <a:rPr lang="en-US" sz="800" b="0" i="0" u="none" strike="noStrike" baseline="0">
              <a:solidFill>
                <a:srgbClr val="000000"/>
              </a:solidFill>
              <a:latin typeface="Courier New"/>
              <a:cs typeface="Courier New"/>
            </a:rPr>
            <a:t>   Model degrees of freedom:                             13</a:t>
          </a:r>
        </a:p>
        <a:p>
          <a:pPr algn="l" rtl="0">
            <a:defRPr sz="1000"/>
          </a:pPr>
          <a:r>
            <a:rPr lang="en-US" sz="800" b="0" i="0" u="none" strike="noStrike" baseline="0">
              <a:solidFill>
                <a:srgbClr val="000000"/>
              </a:solidFill>
              <a:latin typeface="Courier New"/>
              <a:cs typeface="Courier New"/>
            </a:rPr>
            <a:t>   Pseudo R-squared:                                  0.998</a:t>
          </a:r>
        </a:p>
        <a:p>
          <a:pPr algn="l" rtl="0">
            <a:defRPr sz="1000"/>
          </a:pPr>
          <a:r>
            <a:rPr lang="en-US" sz="800" b="0" i="0" u="none" strike="noStrike" baseline="0">
              <a:solidFill>
                <a:srgbClr val="000000"/>
              </a:solidFill>
              <a:latin typeface="Courier New"/>
              <a:cs typeface="Courier New"/>
            </a:rPr>
            <a:t>   Prob:                                              0.000</a:t>
          </a: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nr Effect                                 Coeff        s.e.</a:t>
          </a: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   uwcount</a:t>
          </a:r>
        </a:p>
        <a:p>
          <a:pPr algn="l" rtl="0">
            <a:defRPr sz="1000"/>
          </a:pPr>
          <a:r>
            <a:rPr lang="en-US" sz="800" b="0" i="0" u="none" strike="noStrike" baseline="0">
              <a:solidFill>
                <a:srgbClr val="000000"/>
              </a:solidFill>
              <a:latin typeface="Courier New"/>
              <a:cs typeface="Courier New"/>
            </a:rPr>
            <a:t>     labor</a:t>
          </a:r>
        </a:p>
        <a:p>
          <a:pPr algn="l" rtl="0">
            <a:defRPr sz="1000"/>
          </a:pPr>
          <a:r>
            <a:rPr lang="en-US" sz="800" b="0" i="0" u="none" strike="noStrike" baseline="0">
              <a:solidFill>
                <a:srgbClr val="000000"/>
              </a:solidFill>
              <a:latin typeface="Courier New"/>
              <a:cs typeface="Courier New"/>
            </a:rPr>
            <a:t>1      unemployed                        -0.677**     0.018</a:t>
          </a:r>
        </a:p>
        <a:p>
          <a:pPr algn="l" rtl="0">
            <a:defRPr sz="1000"/>
          </a:pPr>
          <a:r>
            <a:rPr lang="en-US" sz="800" b="0" i="0" u="none" strike="noStrike" baseline="0">
              <a:solidFill>
                <a:srgbClr val="000000"/>
              </a:solidFill>
              <a:latin typeface="Courier New"/>
              <a:cs typeface="Courier New"/>
            </a:rPr>
            <a:t>2      part-time                         -0.433**     0.017</a:t>
          </a:r>
        </a:p>
        <a:p>
          <a:pPr algn="l" rtl="0">
            <a:defRPr sz="1000"/>
          </a:pPr>
          <a:r>
            <a:rPr lang="en-US" sz="800" b="0" i="0" u="none" strike="noStrike" baseline="0">
              <a:solidFill>
                <a:srgbClr val="000000"/>
              </a:solidFill>
              <a:latin typeface="Courier New"/>
              <a:cs typeface="Courier New"/>
            </a:rPr>
            <a:t>     sex</a:t>
          </a:r>
        </a:p>
        <a:p>
          <a:pPr algn="l" rtl="0">
            <a:defRPr sz="1000"/>
          </a:pPr>
          <a:r>
            <a:rPr lang="en-US" sz="800" b="0" i="0" u="none" strike="noStrike" baseline="0">
              <a:solidFill>
                <a:srgbClr val="000000"/>
              </a:solidFill>
              <a:latin typeface="Courier New"/>
              <a:cs typeface="Courier New"/>
            </a:rPr>
            <a:t>3      male                              -0.018*      0.009</a:t>
          </a:r>
        </a:p>
        <a:p>
          <a:pPr algn="l" rtl="0">
            <a:defRPr sz="1000"/>
          </a:pPr>
          <a:r>
            <a:rPr lang="en-US" sz="800" b="0" i="0" u="none" strike="noStrike" baseline="0">
              <a:solidFill>
                <a:srgbClr val="000000"/>
              </a:solidFill>
              <a:latin typeface="Courier New"/>
              <a:cs typeface="Courier New"/>
            </a:rPr>
            <a:t>     labor.sex</a:t>
          </a:r>
        </a:p>
        <a:p>
          <a:pPr algn="l" rtl="0">
            <a:defRPr sz="1000"/>
          </a:pPr>
          <a:r>
            <a:rPr lang="en-US" sz="800" b="0" i="0" u="none" strike="noStrike" baseline="0">
              <a:solidFill>
                <a:srgbClr val="000000"/>
              </a:solidFill>
              <a:latin typeface="Courier New"/>
              <a:cs typeface="Courier New"/>
            </a:rPr>
            <a:t>4      unemployed.male                    0.161**     0.009</a:t>
          </a:r>
        </a:p>
        <a:p>
          <a:pPr algn="l" rtl="0">
            <a:defRPr sz="1000"/>
          </a:pPr>
          <a:r>
            <a:rPr lang="en-US" sz="800" b="0" i="0" u="none" strike="noStrike" baseline="0">
              <a:solidFill>
                <a:srgbClr val="000000"/>
              </a:solidFill>
              <a:latin typeface="Courier New"/>
              <a:cs typeface="Courier New"/>
            </a:rPr>
            <a:t>5      part-time.male                    -0.347**     0.007</a:t>
          </a:r>
        </a:p>
        <a:p>
          <a:pPr algn="l" rtl="0">
            <a:defRPr sz="1000"/>
          </a:pPr>
          <a:r>
            <a:rPr lang="en-US" sz="800" b="0" i="0" u="none" strike="noStrike" baseline="0">
              <a:solidFill>
                <a:srgbClr val="000000"/>
              </a:solidFill>
              <a:latin typeface="Courier New"/>
              <a:cs typeface="Courier New"/>
            </a:rPr>
            <a:t>     color</a:t>
          </a:r>
        </a:p>
        <a:p>
          <a:pPr algn="l" rtl="0">
            <a:defRPr sz="1000"/>
          </a:pPr>
          <a:r>
            <a:rPr lang="en-US" sz="800" b="0" i="0" u="none" strike="noStrike" baseline="0">
              <a:solidFill>
                <a:srgbClr val="000000"/>
              </a:solidFill>
              <a:latin typeface="Courier New"/>
              <a:cs typeface="Courier New"/>
            </a:rPr>
            <a:t>6      white                              1.852**     0.011</a:t>
          </a:r>
        </a:p>
        <a:p>
          <a:pPr algn="l" rtl="0">
            <a:defRPr sz="1000"/>
          </a:pPr>
          <a:r>
            <a:rPr lang="en-US" sz="800" b="0" i="0" u="none" strike="noStrike" baseline="0">
              <a:solidFill>
                <a:srgbClr val="000000"/>
              </a:solidFill>
              <a:latin typeface="Courier New"/>
              <a:cs typeface="Courier New"/>
            </a:rPr>
            <a:t>7      black                             -0.364**     0.014</a:t>
          </a:r>
        </a:p>
        <a:p>
          <a:pPr algn="l" rtl="0">
            <a:defRPr sz="1000"/>
          </a:pPr>
          <a:r>
            <a:rPr lang="en-US" sz="800" b="0" i="0" u="none" strike="noStrike" baseline="0">
              <a:solidFill>
                <a:srgbClr val="000000"/>
              </a:solidFill>
              <a:latin typeface="Courier New"/>
              <a:cs typeface="Courier New"/>
            </a:rPr>
            <a:t>     labor.color</a:t>
          </a:r>
        </a:p>
        <a:p>
          <a:pPr algn="l" rtl="0">
            <a:defRPr sz="1000"/>
          </a:pPr>
          <a:r>
            <a:rPr lang="en-US" sz="800" b="0" i="0" u="none" strike="noStrike" baseline="0">
              <a:solidFill>
                <a:srgbClr val="000000"/>
              </a:solidFill>
              <a:latin typeface="Courier New"/>
              <a:cs typeface="Courier New"/>
            </a:rPr>
            <a:t>8      unemployed.white                  -0.282**     0.018</a:t>
          </a:r>
        </a:p>
        <a:p>
          <a:pPr algn="l" rtl="0">
            <a:defRPr sz="1000"/>
          </a:pPr>
          <a:r>
            <a:rPr lang="en-US" sz="800" b="0" i="0" u="none" strike="noStrike" baseline="0">
              <a:solidFill>
                <a:srgbClr val="000000"/>
              </a:solidFill>
              <a:latin typeface="Courier New"/>
              <a:cs typeface="Courier New"/>
            </a:rPr>
            <a:t>9      unemployed.black                   0.340**     0.022</a:t>
          </a:r>
        </a:p>
        <a:p>
          <a:pPr algn="l" rtl="0">
            <a:defRPr sz="1000"/>
          </a:pPr>
          <a:r>
            <a:rPr lang="en-US" sz="800" b="0" i="0" u="none" strike="noStrike" baseline="0">
              <a:solidFill>
                <a:srgbClr val="000000"/>
              </a:solidFill>
              <a:latin typeface="Courier New"/>
              <a:cs typeface="Courier New"/>
            </a:rPr>
            <a:t>10     part-time.white                    0.193**     0.017</a:t>
          </a:r>
        </a:p>
        <a:p>
          <a:pPr algn="l" rtl="0">
            <a:defRPr sz="1000"/>
          </a:pPr>
          <a:r>
            <a:rPr lang="en-US" sz="800" b="0" i="0" u="none" strike="noStrike" baseline="0">
              <a:solidFill>
                <a:srgbClr val="000000"/>
              </a:solidFill>
              <a:latin typeface="Courier New"/>
              <a:cs typeface="Courier New"/>
            </a:rPr>
            <a:t>11     part-time.black                   -0.229**     0.022</a:t>
          </a:r>
        </a:p>
        <a:p>
          <a:pPr algn="l" rtl="0">
            <a:defRPr sz="1000"/>
          </a:pPr>
          <a:r>
            <a:rPr lang="en-US" sz="800" b="0" i="0" u="none" strike="noStrike" baseline="0">
              <a:solidFill>
                <a:srgbClr val="000000"/>
              </a:solidFill>
              <a:latin typeface="Courier New"/>
              <a:cs typeface="Courier New"/>
            </a:rPr>
            <a:t>     sex.color</a:t>
          </a:r>
        </a:p>
        <a:p>
          <a:pPr algn="l" rtl="0">
            <a:defRPr sz="1000"/>
          </a:pPr>
          <a:r>
            <a:rPr lang="en-US" sz="800" b="0" i="0" u="none" strike="noStrike" baseline="0">
              <a:solidFill>
                <a:srgbClr val="000000"/>
              </a:solidFill>
              <a:latin typeface="Courier New"/>
              <a:cs typeface="Courier New"/>
            </a:rPr>
            <a:t>12     male.white                         0.080**     0.009</a:t>
          </a:r>
        </a:p>
        <a:p>
          <a:pPr algn="l" rtl="0">
            <a:defRPr sz="1000"/>
          </a:pPr>
          <a:r>
            <a:rPr lang="en-US" sz="800" b="0" i="0" u="none" strike="noStrike" baseline="0">
              <a:solidFill>
                <a:srgbClr val="000000"/>
              </a:solidFill>
              <a:latin typeface="Courier New"/>
              <a:cs typeface="Courier New"/>
            </a:rPr>
            <a:t>13     male.black                        -0.097**     0.011</a:t>
          </a:r>
        </a:p>
        <a:p>
          <a:pPr algn="l" rtl="0">
            <a:defRPr sz="1000"/>
          </a:pPr>
          <a:r>
            <a:rPr lang="en-US" sz="800" b="0" i="0" u="none" strike="noStrike" baseline="0">
              <a:solidFill>
                <a:srgbClr val="000000"/>
              </a:solidFill>
              <a:latin typeface="Courier New"/>
              <a:cs typeface="Courier New"/>
            </a:rPr>
            <a:t>14   _cons                                7.053**     0.011</a:t>
          </a: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  p &lt; .05</a:t>
          </a:r>
        </a:p>
        <a:p>
          <a:pPr algn="l" rtl="0">
            <a:defRPr sz="1000"/>
          </a:pPr>
          <a:r>
            <a:rPr lang="en-US" sz="800" b="0" i="0" u="none" strike="noStrike" baseline="0">
              <a:solidFill>
                <a:srgbClr val="000000"/>
              </a:solidFill>
              <a:latin typeface="Courier New"/>
              <a:cs typeface="Courier New"/>
            </a:rPr>
            <a:t>** p &lt; .01</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poisgof</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Goodness-of-fit chi2  =  86.53056</a:t>
          </a:r>
        </a:p>
        <a:p>
          <a:pPr algn="l" rtl="0">
            <a:defRPr sz="1000"/>
          </a:pPr>
          <a:r>
            <a:rPr lang="en-US" sz="800" b="0" i="0" u="none" strike="noStrike" baseline="0">
              <a:solidFill>
                <a:srgbClr val="000000"/>
              </a:solidFill>
              <a:latin typeface="Courier New"/>
              <a:cs typeface="Courier New"/>
            </a:rPr>
            <a:t>         Prob &gt; chi2(4)        =    0.0000</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poisgof, pearson</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Goodness-of-fit chi2  =  89.79915</a:t>
          </a:r>
        </a:p>
        <a:p>
          <a:pPr algn="l" rtl="0">
            <a:defRPr sz="1000"/>
          </a:pPr>
          <a:r>
            <a:rPr lang="en-US" sz="800" b="0" i="0" u="none" strike="noStrike" baseline="0">
              <a:solidFill>
                <a:srgbClr val="000000"/>
              </a:solidFill>
              <a:latin typeface="Courier New"/>
              <a:cs typeface="Courier New"/>
            </a:rPr>
            <a:t>         Prob &gt; chi2(4)        =    0.0000</a:t>
          </a:r>
        </a:p>
        <a:p>
          <a:pPr algn="l" rtl="0">
            <a:defRPr sz="1000"/>
          </a:pPr>
          <a:endParaRPr lang="en-US" sz="800" b="0" i="0" u="none" strike="noStrike" baseline="0">
            <a:solidFill>
              <a:srgbClr val="000000"/>
            </a:solidFill>
            <a:latin typeface="Courier New"/>
            <a:cs typeface="Courier New"/>
          </a:endParaRPr>
        </a:p>
      </xdr:txBody>
    </xdr:sp>
    <xdr:clientData/>
  </xdr:twoCellAnchor>
  <xdr:twoCellAnchor>
    <xdr:from>
      <xdr:col>7</xdr:col>
      <xdr:colOff>285750</xdr:colOff>
      <xdr:row>13</xdr:row>
      <xdr:rowOff>133350</xdr:rowOff>
    </xdr:from>
    <xdr:to>
      <xdr:col>14</xdr:col>
      <xdr:colOff>171450</xdr:colOff>
      <xdr:row>65</xdr:row>
      <xdr:rowOff>57150</xdr:rowOff>
    </xdr:to>
    <xdr:sp macro="" textlink="">
      <xdr:nvSpPr>
        <xdr:cNvPr id="14339" name="Text Box 3"/>
        <xdr:cNvSpPr txBox="1">
          <a:spLocks noChangeArrowheads="1"/>
        </xdr:cNvSpPr>
      </xdr:nvSpPr>
      <xdr:spPr bwMode="auto">
        <a:xfrm>
          <a:off x="4552950" y="2114550"/>
          <a:ext cx="4152900" cy="78486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800" b="0" i="0" u="none" strike="noStrike" baseline="0">
              <a:solidFill>
                <a:srgbClr val="000000"/>
              </a:solidFill>
              <a:latin typeface="Courier New"/>
              <a:cs typeface="Courier New"/>
            </a:rPr>
            <a:t>M2, a really crazy one, with the weighted counts as the dependent variable</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desmat: poisson  wtcount labor*sex=dev(3)*dev(2) labor*color=dev(3)*dev(3) sex*color=dev(2)*dev(3)</a:t>
          </a: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   Poisson regression</a:t>
          </a: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   Dependent variable                               wtcount</a:t>
          </a:r>
        </a:p>
        <a:p>
          <a:pPr algn="l" rtl="0">
            <a:defRPr sz="1000"/>
          </a:pPr>
          <a:r>
            <a:rPr lang="en-US" sz="800" b="0" i="0" u="none" strike="noStrike" baseline="0">
              <a:solidFill>
                <a:srgbClr val="000000"/>
              </a:solidFill>
              <a:latin typeface="Courier New"/>
              <a:cs typeface="Courier New"/>
            </a:rPr>
            <a:t>   Optimization:                                         ml</a:t>
          </a:r>
        </a:p>
        <a:p>
          <a:pPr algn="l" rtl="0">
            <a:defRPr sz="1000"/>
          </a:pPr>
          <a:r>
            <a:rPr lang="en-US" sz="800" b="0" i="0" u="none" strike="noStrike" baseline="0">
              <a:solidFill>
                <a:srgbClr val="000000"/>
              </a:solidFill>
              <a:latin typeface="Courier New"/>
              <a:cs typeface="Courier New"/>
            </a:rPr>
            <a:t>   Number of observations:                               18</a:t>
          </a:r>
        </a:p>
        <a:p>
          <a:pPr algn="l" rtl="0">
            <a:defRPr sz="1000"/>
          </a:pPr>
          <a:r>
            <a:rPr lang="en-US" sz="800" b="0" i="0" u="none" strike="noStrike" baseline="0">
              <a:solidFill>
                <a:srgbClr val="000000"/>
              </a:solidFill>
              <a:latin typeface="Courier New"/>
              <a:cs typeface="Courier New"/>
            </a:rPr>
            <a:t>   Initial log likelihood:                       -1.137e+08</a:t>
          </a:r>
        </a:p>
        <a:p>
          <a:pPr algn="l" rtl="0">
            <a:defRPr sz="1000"/>
          </a:pPr>
          <a:r>
            <a:rPr lang="en-US" sz="800" b="0" i="0" u="none" strike="noStrike" baseline="0">
              <a:solidFill>
                <a:srgbClr val="000000"/>
              </a:solidFill>
              <a:latin typeface="Courier New"/>
              <a:cs typeface="Courier New"/>
            </a:rPr>
            <a:t>   Log likelihood:                               -71806.645</a:t>
          </a:r>
        </a:p>
        <a:p>
          <a:pPr algn="l" rtl="0">
            <a:defRPr sz="1000"/>
          </a:pPr>
          <a:r>
            <a:rPr lang="en-US" sz="800" b="0" i="0" u="none" strike="noStrike" baseline="0">
              <a:solidFill>
                <a:srgbClr val="000000"/>
              </a:solidFill>
              <a:latin typeface="Courier New"/>
              <a:cs typeface="Courier New"/>
            </a:rPr>
            <a:t>   LR chi square:                                 2.273e+08</a:t>
          </a:r>
        </a:p>
        <a:p>
          <a:pPr algn="l" rtl="0">
            <a:defRPr sz="1000"/>
          </a:pPr>
          <a:r>
            <a:rPr lang="en-US" sz="800" b="0" i="0" u="none" strike="noStrike" baseline="0">
              <a:solidFill>
                <a:srgbClr val="000000"/>
              </a:solidFill>
              <a:latin typeface="Courier New"/>
              <a:cs typeface="Courier New"/>
            </a:rPr>
            <a:t>   Model degrees of freedom:                             13</a:t>
          </a:r>
        </a:p>
        <a:p>
          <a:pPr algn="l" rtl="0">
            <a:defRPr sz="1000"/>
          </a:pPr>
          <a:r>
            <a:rPr lang="en-US" sz="800" b="0" i="0" u="none" strike="noStrike" baseline="0">
              <a:solidFill>
                <a:srgbClr val="000000"/>
              </a:solidFill>
              <a:latin typeface="Courier New"/>
              <a:cs typeface="Courier New"/>
            </a:rPr>
            <a:t>   Pseudo R-squared:                                  0.999</a:t>
          </a:r>
        </a:p>
        <a:p>
          <a:pPr algn="l" rtl="0">
            <a:defRPr sz="1000"/>
          </a:pPr>
          <a:r>
            <a:rPr lang="en-US" sz="800" b="0" i="0" u="none" strike="noStrike" baseline="0">
              <a:solidFill>
                <a:srgbClr val="000000"/>
              </a:solidFill>
              <a:latin typeface="Courier New"/>
              <a:cs typeface="Courier New"/>
            </a:rPr>
            <a:t>   Prob:                                              0.000</a:t>
          </a: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nr Effect                                 Coeff        s.e.</a:t>
          </a: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   wtcount</a:t>
          </a:r>
        </a:p>
        <a:p>
          <a:pPr algn="l" rtl="0">
            <a:defRPr sz="1000"/>
          </a:pPr>
          <a:r>
            <a:rPr lang="en-US" sz="800" b="0" i="0" u="none" strike="noStrike" baseline="0">
              <a:solidFill>
                <a:srgbClr val="000000"/>
              </a:solidFill>
              <a:latin typeface="Courier New"/>
              <a:cs typeface="Courier New"/>
            </a:rPr>
            <a:t>     labor</a:t>
          </a:r>
        </a:p>
        <a:p>
          <a:pPr algn="l" rtl="0">
            <a:defRPr sz="1000"/>
          </a:pPr>
          <a:r>
            <a:rPr lang="en-US" sz="800" b="0" i="0" u="none" strike="noStrike" baseline="0">
              <a:solidFill>
                <a:srgbClr val="000000"/>
              </a:solidFill>
              <a:latin typeface="Courier New"/>
              <a:cs typeface="Courier New"/>
            </a:rPr>
            <a:t>1      unemployed                        -0.689**     0.001</a:t>
          </a:r>
        </a:p>
        <a:p>
          <a:pPr algn="l" rtl="0">
            <a:defRPr sz="1000"/>
          </a:pPr>
          <a:r>
            <a:rPr lang="en-US" sz="800" b="0" i="0" u="none" strike="noStrike" baseline="0">
              <a:solidFill>
                <a:srgbClr val="000000"/>
              </a:solidFill>
              <a:latin typeface="Courier New"/>
              <a:cs typeface="Courier New"/>
            </a:rPr>
            <a:t>2      part-time                         -0.435**     0.000</a:t>
          </a:r>
        </a:p>
        <a:p>
          <a:pPr algn="l" rtl="0">
            <a:defRPr sz="1000"/>
          </a:pPr>
          <a:r>
            <a:rPr lang="en-US" sz="800" b="0" i="0" u="none" strike="noStrike" baseline="0">
              <a:solidFill>
                <a:srgbClr val="000000"/>
              </a:solidFill>
              <a:latin typeface="Courier New"/>
              <a:cs typeface="Courier New"/>
            </a:rPr>
            <a:t>     sex</a:t>
          </a:r>
        </a:p>
        <a:p>
          <a:pPr algn="l" rtl="0">
            <a:defRPr sz="1000"/>
          </a:pPr>
          <a:r>
            <a:rPr lang="en-US" sz="800" b="0" i="0" u="none" strike="noStrike" baseline="0">
              <a:solidFill>
                <a:srgbClr val="000000"/>
              </a:solidFill>
              <a:latin typeface="Courier New"/>
              <a:cs typeface="Courier New"/>
            </a:rPr>
            <a:t>3      male                               0.013**     0.000</a:t>
          </a:r>
        </a:p>
        <a:p>
          <a:pPr algn="l" rtl="0">
            <a:defRPr sz="1000"/>
          </a:pPr>
          <a:r>
            <a:rPr lang="en-US" sz="800" b="0" i="0" u="none" strike="noStrike" baseline="0">
              <a:solidFill>
                <a:srgbClr val="000000"/>
              </a:solidFill>
              <a:latin typeface="Courier New"/>
              <a:cs typeface="Courier New"/>
            </a:rPr>
            <a:t>     labor.sex</a:t>
          </a:r>
        </a:p>
        <a:p>
          <a:pPr algn="l" rtl="0">
            <a:defRPr sz="1000"/>
          </a:pPr>
          <a:r>
            <a:rPr lang="en-US" sz="800" b="0" i="0" u="none" strike="noStrike" baseline="0">
              <a:solidFill>
                <a:srgbClr val="000000"/>
              </a:solidFill>
              <a:latin typeface="Courier New"/>
              <a:cs typeface="Courier New"/>
            </a:rPr>
            <a:t>4      unemployed.male                    0.165**     0.000</a:t>
          </a:r>
        </a:p>
        <a:p>
          <a:pPr algn="l" rtl="0">
            <a:defRPr sz="1000"/>
          </a:pPr>
          <a:r>
            <a:rPr lang="en-US" sz="800" b="0" i="0" u="none" strike="noStrike" baseline="0">
              <a:solidFill>
                <a:srgbClr val="000000"/>
              </a:solidFill>
              <a:latin typeface="Courier New"/>
              <a:cs typeface="Courier New"/>
            </a:rPr>
            <a:t>5      part-time.male                    -0.340**     0.000</a:t>
          </a:r>
        </a:p>
        <a:p>
          <a:pPr algn="l" rtl="0">
            <a:defRPr sz="1000"/>
          </a:pPr>
          <a:r>
            <a:rPr lang="en-US" sz="800" b="0" i="0" u="none" strike="noStrike" baseline="0">
              <a:solidFill>
                <a:srgbClr val="000000"/>
              </a:solidFill>
              <a:latin typeface="Courier New"/>
              <a:cs typeface="Courier New"/>
            </a:rPr>
            <a:t>     color</a:t>
          </a:r>
        </a:p>
        <a:p>
          <a:pPr algn="l" rtl="0">
            <a:defRPr sz="1000"/>
          </a:pPr>
          <a:r>
            <a:rPr lang="en-US" sz="800" b="0" i="0" u="none" strike="noStrike" baseline="0">
              <a:solidFill>
                <a:srgbClr val="000000"/>
              </a:solidFill>
              <a:latin typeface="Courier New"/>
              <a:cs typeface="Courier New"/>
            </a:rPr>
            <a:t>6      white                              1.858**     0.000</a:t>
          </a:r>
        </a:p>
        <a:p>
          <a:pPr algn="l" rtl="0">
            <a:defRPr sz="1000"/>
          </a:pPr>
          <a:r>
            <a:rPr lang="en-US" sz="800" b="0" i="0" u="none" strike="noStrike" baseline="0">
              <a:solidFill>
                <a:srgbClr val="000000"/>
              </a:solidFill>
              <a:latin typeface="Courier New"/>
              <a:cs typeface="Courier New"/>
            </a:rPr>
            <a:t>7      black                             -0.133**     0.000</a:t>
          </a:r>
        </a:p>
        <a:p>
          <a:pPr algn="l" rtl="0">
            <a:defRPr sz="1000"/>
          </a:pPr>
          <a:r>
            <a:rPr lang="en-US" sz="800" b="0" i="0" u="none" strike="noStrike" baseline="0">
              <a:solidFill>
                <a:srgbClr val="000000"/>
              </a:solidFill>
              <a:latin typeface="Courier New"/>
              <a:cs typeface="Courier New"/>
            </a:rPr>
            <a:t>     labor.color</a:t>
          </a:r>
        </a:p>
        <a:p>
          <a:pPr algn="l" rtl="0">
            <a:defRPr sz="1000"/>
          </a:pPr>
          <a:r>
            <a:rPr lang="en-US" sz="800" b="0" i="0" u="none" strike="noStrike" baseline="0">
              <a:solidFill>
                <a:srgbClr val="000000"/>
              </a:solidFill>
              <a:latin typeface="Courier New"/>
              <a:cs typeface="Courier New"/>
            </a:rPr>
            <a:t>8      unemployed.white                  -0.263**     0.001</a:t>
          </a:r>
        </a:p>
        <a:p>
          <a:pPr algn="l" rtl="0">
            <a:defRPr sz="1000"/>
          </a:pPr>
          <a:r>
            <a:rPr lang="en-US" sz="800" b="0" i="0" u="none" strike="noStrike" baseline="0">
              <a:solidFill>
                <a:srgbClr val="000000"/>
              </a:solidFill>
              <a:latin typeface="Courier New"/>
              <a:cs typeface="Courier New"/>
            </a:rPr>
            <a:t>9      unemployed.black                   0.383**     0.001</a:t>
          </a:r>
        </a:p>
        <a:p>
          <a:pPr algn="l" rtl="0">
            <a:defRPr sz="1000"/>
          </a:pPr>
          <a:r>
            <a:rPr lang="en-US" sz="800" b="0" i="0" u="none" strike="noStrike" baseline="0">
              <a:solidFill>
                <a:srgbClr val="000000"/>
              </a:solidFill>
              <a:latin typeface="Courier New"/>
              <a:cs typeface="Courier New"/>
            </a:rPr>
            <a:t>10     part-time.white                    0.186**     0.000</a:t>
          </a:r>
        </a:p>
        <a:p>
          <a:pPr algn="l" rtl="0">
            <a:defRPr sz="1000"/>
          </a:pPr>
          <a:r>
            <a:rPr lang="en-US" sz="800" b="0" i="0" u="none" strike="noStrike" baseline="0">
              <a:solidFill>
                <a:srgbClr val="000000"/>
              </a:solidFill>
              <a:latin typeface="Courier New"/>
              <a:cs typeface="Courier New"/>
            </a:rPr>
            <a:t>11     part-time.black                   -0.231**     0.001</a:t>
          </a:r>
        </a:p>
        <a:p>
          <a:pPr algn="l" rtl="0">
            <a:defRPr sz="1000"/>
          </a:pPr>
          <a:r>
            <a:rPr lang="en-US" sz="800" b="0" i="0" u="none" strike="noStrike" baseline="0">
              <a:solidFill>
                <a:srgbClr val="000000"/>
              </a:solidFill>
              <a:latin typeface="Courier New"/>
              <a:cs typeface="Courier New"/>
            </a:rPr>
            <a:t>     sex.color</a:t>
          </a:r>
        </a:p>
        <a:p>
          <a:pPr algn="l" rtl="0">
            <a:defRPr sz="1000"/>
          </a:pPr>
          <a:r>
            <a:rPr lang="en-US" sz="800" b="0" i="0" u="none" strike="noStrike" baseline="0">
              <a:solidFill>
                <a:srgbClr val="000000"/>
              </a:solidFill>
              <a:latin typeface="Courier New"/>
              <a:cs typeface="Courier New"/>
            </a:rPr>
            <a:t>12     male.white                         0.059**     0.000</a:t>
          </a:r>
        </a:p>
        <a:p>
          <a:pPr algn="l" rtl="0">
            <a:defRPr sz="1000"/>
          </a:pPr>
          <a:r>
            <a:rPr lang="en-US" sz="800" b="0" i="0" u="none" strike="noStrike" baseline="0">
              <a:solidFill>
                <a:srgbClr val="000000"/>
              </a:solidFill>
              <a:latin typeface="Courier New"/>
              <a:cs typeface="Courier New"/>
            </a:rPr>
            <a:t>13     male.black                        -0.083**     0.000</a:t>
          </a:r>
        </a:p>
        <a:p>
          <a:pPr algn="l" rtl="0">
            <a:defRPr sz="1000"/>
          </a:pPr>
          <a:r>
            <a:rPr lang="en-US" sz="800" b="0" i="0" u="none" strike="noStrike" baseline="0">
              <a:solidFill>
                <a:srgbClr val="000000"/>
              </a:solidFill>
              <a:latin typeface="Courier New"/>
              <a:cs typeface="Courier New"/>
            </a:rPr>
            <a:t>14   _cons                               14.294**     0.000</a:t>
          </a: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  p &lt; .05</a:t>
          </a:r>
        </a:p>
        <a:p>
          <a:pPr algn="l" rtl="0">
            <a:defRPr sz="1000"/>
          </a:pPr>
          <a:r>
            <a:rPr lang="en-US" sz="800" b="0" i="0" u="none" strike="noStrike" baseline="0">
              <a:solidFill>
                <a:srgbClr val="000000"/>
              </a:solidFill>
              <a:latin typeface="Courier New"/>
              <a:cs typeface="Courier New"/>
            </a:rPr>
            <a:t>** p &lt; .01</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poisgof</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Goodness-of-fit chi2  =  143357.3</a:t>
          </a:r>
        </a:p>
        <a:p>
          <a:pPr algn="l" rtl="0">
            <a:defRPr sz="1000"/>
          </a:pPr>
          <a:r>
            <a:rPr lang="en-US" sz="800" b="0" i="0" u="none" strike="noStrike" baseline="0">
              <a:solidFill>
                <a:srgbClr val="000000"/>
              </a:solidFill>
              <a:latin typeface="Courier New"/>
              <a:cs typeface="Courier New"/>
            </a:rPr>
            <a:t>         Prob &gt; chi2(4)        =    0.0000</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poisgof, pearson</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Goodness-of-fit chi2  =  148750.5</a:t>
          </a:r>
        </a:p>
        <a:p>
          <a:pPr algn="l" rtl="0">
            <a:defRPr sz="1000"/>
          </a:pPr>
          <a:r>
            <a:rPr lang="en-US" sz="800" b="0" i="0" u="none" strike="noStrike" baseline="0">
              <a:solidFill>
                <a:srgbClr val="000000"/>
              </a:solidFill>
              <a:latin typeface="Courier New"/>
              <a:cs typeface="Courier New"/>
            </a:rPr>
            <a:t>         Prob &gt; chi2(4)        =    0.0000</a:t>
          </a:r>
        </a:p>
        <a:p>
          <a:pPr algn="l" rtl="0">
            <a:defRPr sz="1000"/>
          </a:pPr>
          <a:endParaRPr lang="en-US" sz="800" b="0" i="0" u="none" strike="noStrike" baseline="0">
            <a:solidFill>
              <a:srgbClr val="000000"/>
            </a:solidFill>
            <a:latin typeface="Courier New"/>
            <a:cs typeface="Courier New"/>
          </a:endParaRPr>
        </a:p>
      </xdr:txBody>
    </xdr:sp>
    <xdr:clientData/>
  </xdr:twoCellAnchor>
  <xdr:twoCellAnchor>
    <xdr:from>
      <xdr:col>14</xdr:col>
      <xdr:colOff>190500</xdr:colOff>
      <xdr:row>9</xdr:row>
      <xdr:rowOff>133350</xdr:rowOff>
    </xdr:from>
    <xdr:to>
      <xdr:col>21</xdr:col>
      <xdr:colOff>76200</xdr:colOff>
      <xdr:row>64</xdr:row>
      <xdr:rowOff>76200</xdr:rowOff>
    </xdr:to>
    <xdr:sp macro="" textlink="">
      <xdr:nvSpPr>
        <xdr:cNvPr id="14340" name="Text Box 4"/>
        <xdr:cNvSpPr txBox="1">
          <a:spLocks noChangeArrowheads="1"/>
        </xdr:cNvSpPr>
      </xdr:nvSpPr>
      <xdr:spPr bwMode="auto">
        <a:xfrm>
          <a:off x="8724900" y="1504950"/>
          <a:ext cx="4152900" cy="832485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800" b="0" i="0" u="none" strike="noStrike" baseline="0">
              <a:solidFill>
                <a:srgbClr val="000000"/>
              </a:solidFill>
              <a:latin typeface="Courier New"/>
              <a:cs typeface="Courier New"/>
            </a:rPr>
            <a:t>M3, C+E's model 2. This one takes the weighted counts and rescales them so that the total count is the same as the unweighted count. Note that the coefficients here are the same as M2, because the counts differ by a constant, but the SE and fit stats are different from model 2, more like model 1.</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desmat: poisson   wncount labor*sex=dev(3)*dev(2) labor*color=dev(3)*dev(3) sex*color=dev(2)*dev(3)</a:t>
          </a: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   Poisson regression</a:t>
          </a: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   Dependent variable                               wncount</a:t>
          </a:r>
        </a:p>
        <a:p>
          <a:pPr algn="l" rtl="0">
            <a:defRPr sz="1000"/>
          </a:pPr>
          <a:r>
            <a:rPr lang="en-US" sz="800" b="0" i="0" u="none" strike="noStrike" baseline="0">
              <a:solidFill>
                <a:srgbClr val="000000"/>
              </a:solidFill>
              <a:latin typeface="Courier New"/>
              <a:cs typeface="Courier New"/>
            </a:rPr>
            <a:t>   Optimization:                                         ml</a:t>
          </a:r>
        </a:p>
        <a:p>
          <a:pPr algn="l" rtl="0">
            <a:defRPr sz="1000"/>
          </a:pPr>
          <a:r>
            <a:rPr lang="en-US" sz="800" b="0" i="0" u="none" strike="noStrike" baseline="0">
              <a:solidFill>
                <a:srgbClr val="000000"/>
              </a:solidFill>
              <a:latin typeface="Courier New"/>
              <a:cs typeface="Courier New"/>
            </a:rPr>
            <a:t>   Number of observations:                               18</a:t>
          </a:r>
        </a:p>
        <a:p>
          <a:pPr algn="l" rtl="0">
            <a:defRPr sz="1000"/>
          </a:pPr>
          <a:r>
            <a:rPr lang="en-US" sz="800" b="0" i="0" u="none" strike="noStrike" baseline="0">
              <a:solidFill>
                <a:srgbClr val="000000"/>
              </a:solidFill>
              <a:latin typeface="Courier New"/>
              <a:cs typeface="Courier New"/>
            </a:rPr>
            <a:t>   Initial log likelihood:                       -79982.751</a:t>
          </a:r>
        </a:p>
        <a:p>
          <a:pPr algn="l" rtl="0">
            <a:defRPr sz="1000"/>
          </a:pPr>
          <a:r>
            <a:rPr lang="en-US" sz="800" b="0" i="0" u="none" strike="noStrike" baseline="0">
              <a:solidFill>
                <a:srgbClr val="000000"/>
              </a:solidFill>
              <a:latin typeface="Courier New"/>
              <a:cs typeface="Courier New"/>
            </a:rPr>
            <a:t>   Log likelihood:                                 -130.057</a:t>
          </a:r>
        </a:p>
        <a:p>
          <a:pPr algn="l" rtl="0">
            <a:defRPr sz="1000"/>
          </a:pPr>
          <a:r>
            <a:rPr lang="en-US" sz="800" b="0" i="0" u="none" strike="noStrike" baseline="0">
              <a:solidFill>
                <a:srgbClr val="000000"/>
              </a:solidFill>
              <a:latin typeface="Courier New"/>
              <a:cs typeface="Courier New"/>
            </a:rPr>
            <a:t>   LR chi square:                                159705.387</a:t>
          </a:r>
        </a:p>
        <a:p>
          <a:pPr algn="l" rtl="0">
            <a:defRPr sz="1000"/>
          </a:pPr>
          <a:r>
            <a:rPr lang="en-US" sz="800" b="0" i="0" u="none" strike="noStrike" baseline="0">
              <a:solidFill>
                <a:srgbClr val="000000"/>
              </a:solidFill>
              <a:latin typeface="Courier New"/>
              <a:cs typeface="Courier New"/>
            </a:rPr>
            <a:t>   Model degrees of freedom:                             13</a:t>
          </a:r>
        </a:p>
        <a:p>
          <a:pPr algn="l" rtl="0">
            <a:defRPr sz="1000"/>
          </a:pPr>
          <a:r>
            <a:rPr lang="en-US" sz="800" b="0" i="0" u="none" strike="noStrike" baseline="0">
              <a:solidFill>
                <a:srgbClr val="000000"/>
              </a:solidFill>
              <a:latin typeface="Courier New"/>
              <a:cs typeface="Courier New"/>
            </a:rPr>
            <a:t>   Pseudo R-squared:                                  0.998</a:t>
          </a:r>
        </a:p>
        <a:p>
          <a:pPr algn="l" rtl="0">
            <a:defRPr sz="1000"/>
          </a:pPr>
          <a:r>
            <a:rPr lang="en-US" sz="800" b="0" i="0" u="none" strike="noStrike" baseline="0">
              <a:solidFill>
                <a:srgbClr val="000000"/>
              </a:solidFill>
              <a:latin typeface="Courier New"/>
              <a:cs typeface="Courier New"/>
            </a:rPr>
            <a:t>   Prob:                                              0.000</a:t>
          </a: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nr Effect                                 Coeff        s.e.</a:t>
          </a: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   wncount</a:t>
          </a:r>
        </a:p>
        <a:p>
          <a:pPr algn="l" rtl="0">
            <a:defRPr sz="1000"/>
          </a:pPr>
          <a:r>
            <a:rPr lang="en-US" sz="800" b="0" i="0" u="none" strike="noStrike" baseline="0">
              <a:solidFill>
                <a:srgbClr val="000000"/>
              </a:solidFill>
              <a:latin typeface="Courier New"/>
              <a:cs typeface="Courier New"/>
            </a:rPr>
            <a:t>     labor</a:t>
          </a:r>
        </a:p>
        <a:p>
          <a:pPr algn="l" rtl="0">
            <a:defRPr sz="1000"/>
          </a:pPr>
          <a:r>
            <a:rPr lang="en-US" sz="800" b="0" i="0" u="none" strike="noStrike" baseline="0">
              <a:solidFill>
                <a:srgbClr val="000000"/>
              </a:solidFill>
              <a:latin typeface="Courier New"/>
              <a:cs typeface="Courier New"/>
            </a:rPr>
            <a:t>1      unemployed                        -0.690**     0.020</a:t>
          </a:r>
        </a:p>
        <a:p>
          <a:pPr algn="l" rtl="0">
            <a:defRPr sz="1000"/>
          </a:pPr>
          <a:r>
            <a:rPr lang="en-US" sz="800" b="0" i="0" u="none" strike="noStrike" baseline="0">
              <a:solidFill>
                <a:srgbClr val="000000"/>
              </a:solidFill>
              <a:latin typeface="Courier New"/>
              <a:cs typeface="Courier New"/>
            </a:rPr>
            <a:t>2      part-time                         -0.435**     0.018</a:t>
          </a:r>
        </a:p>
        <a:p>
          <a:pPr algn="l" rtl="0">
            <a:defRPr sz="1000"/>
          </a:pPr>
          <a:r>
            <a:rPr lang="en-US" sz="800" b="0" i="0" u="none" strike="noStrike" baseline="0">
              <a:solidFill>
                <a:srgbClr val="000000"/>
              </a:solidFill>
              <a:latin typeface="Courier New"/>
              <a:cs typeface="Courier New"/>
            </a:rPr>
            <a:t>     sex</a:t>
          </a:r>
        </a:p>
        <a:p>
          <a:pPr algn="l" rtl="0">
            <a:defRPr sz="1000"/>
          </a:pPr>
          <a:r>
            <a:rPr lang="en-US" sz="800" b="0" i="0" u="none" strike="noStrike" baseline="0">
              <a:solidFill>
                <a:srgbClr val="000000"/>
              </a:solidFill>
              <a:latin typeface="Courier New"/>
              <a:cs typeface="Courier New"/>
            </a:rPr>
            <a:t>3      male                               0.013       0.010</a:t>
          </a:r>
        </a:p>
        <a:p>
          <a:pPr algn="l" rtl="0">
            <a:defRPr sz="1000"/>
          </a:pPr>
          <a:r>
            <a:rPr lang="en-US" sz="800" b="0" i="0" u="none" strike="noStrike" baseline="0">
              <a:solidFill>
                <a:srgbClr val="000000"/>
              </a:solidFill>
              <a:latin typeface="Courier New"/>
              <a:cs typeface="Courier New"/>
            </a:rPr>
            <a:t>     labor.sex</a:t>
          </a:r>
        </a:p>
        <a:p>
          <a:pPr algn="l" rtl="0">
            <a:defRPr sz="1000"/>
          </a:pPr>
          <a:r>
            <a:rPr lang="en-US" sz="800" b="0" i="0" u="none" strike="noStrike" baseline="0">
              <a:solidFill>
                <a:srgbClr val="000000"/>
              </a:solidFill>
              <a:latin typeface="Courier New"/>
              <a:cs typeface="Courier New"/>
            </a:rPr>
            <a:t>4      unemployed.male                    0.165**     0.009</a:t>
          </a:r>
        </a:p>
        <a:p>
          <a:pPr algn="l" rtl="0">
            <a:defRPr sz="1000"/>
          </a:pPr>
          <a:r>
            <a:rPr lang="en-US" sz="800" b="0" i="0" u="none" strike="noStrike" baseline="0">
              <a:solidFill>
                <a:srgbClr val="000000"/>
              </a:solidFill>
              <a:latin typeface="Courier New"/>
              <a:cs typeface="Courier New"/>
            </a:rPr>
            <a:t>5      part-time.male                    -0.340**     0.007</a:t>
          </a:r>
        </a:p>
        <a:p>
          <a:pPr algn="l" rtl="0">
            <a:defRPr sz="1000"/>
          </a:pPr>
          <a:r>
            <a:rPr lang="en-US" sz="800" b="0" i="0" u="none" strike="noStrike" baseline="0">
              <a:solidFill>
                <a:srgbClr val="000000"/>
              </a:solidFill>
              <a:latin typeface="Courier New"/>
              <a:cs typeface="Courier New"/>
            </a:rPr>
            <a:t>     color</a:t>
          </a:r>
        </a:p>
        <a:p>
          <a:pPr algn="l" rtl="0">
            <a:defRPr sz="1000"/>
          </a:pPr>
          <a:r>
            <a:rPr lang="en-US" sz="800" b="0" i="0" u="none" strike="noStrike" baseline="0">
              <a:solidFill>
                <a:srgbClr val="000000"/>
              </a:solidFill>
              <a:latin typeface="Courier New"/>
              <a:cs typeface="Courier New"/>
            </a:rPr>
            <a:t>6      white                              1.858**     0.012</a:t>
          </a:r>
        </a:p>
        <a:p>
          <a:pPr algn="l" rtl="0">
            <a:defRPr sz="1000"/>
          </a:pPr>
          <a:r>
            <a:rPr lang="en-US" sz="800" b="0" i="0" u="none" strike="noStrike" baseline="0">
              <a:solidFill>
                <a:srgbClr val="000000"/>
              </a:solidFill>
              <a:latin typeface="Courier New"/>
              <a:cs typeface="Courier New"/>
            </a:rPr>
            <a:t>7      black                             -0.133**     0.015</a:t>
          </a:r>
        </a:p>
        <a:p>
          <a:pPr algn="l" rtl="0">
            <a:defRPr sz="1000"/>
          </a:pPr>
          <a:r>
            <a:rPr lang="en-US" sz="800" b="0" i="0" u="none" strike="noStrike" baseline="0">
              <a:solidFill>
                <a:srgbClr val="000000"/>
              </a:solidFill>
              <a:latin typeface="Courier New"/>
              <a:cs typeface="Courier New"/>
            </a:rPr>
            <a:t>     labor.color</a:t>
          </a:r>
        </a:p>
        <a:p>
          <a:pPr algn="l" rtl="0">
            <a:defRPr sz="1000"/>
          </a:pPr>
          <a:r>
            <a:rPr lang="en-US" sz="800" b="0" i="0" u="none" strike="noStrike" baseline="0">
              <a:solidFill>
                <a:srgbClr val="000000"/>
              </a:solidFill>
              <a:latin typeface="Courier New"/>
              <a:cs typeface="Courier New"/>
            </a:rPr>
            <a:t>8      unemployed.white                  -0.263**     0.020</a:t>
          </a:r>
        </a:p>
        <a:p>
          <a:pPr algn="l" rtl="0">
            <a:defRPr sz="1000"/>
          </a:pPr>
          <a:r>
            <a:rPr lang="en-US" sz="800" b="0" i="0" u="none" strike="noStrike" baseline="0">
              <a:solidFill>
                <a:srgbClr val="000000"/>
              </a:solidFill>
              <a:latin typeface="Courier New"/>
              <a:cs typeface="Courier New"/>
            </a:rPr>
            <a:t>9      unemployed.black                   0.384**     0.023</a:t>
          </a:r>
        </a:p>
        <a:p>
          <a:pPr algn="l" rtl="0">
            <a:defRPr sz="1000"/>
          </a:pPr>
          <a:r>
            <a:rPr lang="en-US" sz="800" b="0" i="0" u="none" strike="noStrike" baseline="0">
              <a:solidFill>
                <a:srgbClr val="000000"/>
              </a:solidFill>
              <a:latin typeface="Courier New"/>
              <a:cs typeface="Courier New"/>
            </a:rPr>
            <a:t>10     part-time.white                    0.186**     0.018</a:t>
          </a:r>
        </a:p>
        <a:p>
          <a:pPr algn="l" rtl="0">
            <a:defRPr sz="1000"/>
          </a:pPr>
          <a:r>
            <a:rPr lang="en-US" sz="800" b="0" i="0" u="none" strike="noStrike" baseline="0">
              <a:solidFill>
                <a:srgbClr val="000000"/>
              </a:solidFill>
              <a:latin typeface="Courier New"/>
              <a:cs typeface="Courier New"/>
            </a:rPr>
            <a:t>11     part-time.black                   -0.232**     0.022</a:t>
          </a:r>
        </a:p>
        <a:p>
          <a:pPr algn="l" rtl="0">
            <a:defRPr sz="1000"/>
          </a:pPr>
          <a:r>
            <a:rPr lang="en-US" sz="800" b="0" i="0" u="none" strike="noStrike" baseline="0">
              <a:solidFill>
                <a:srgbClr val="000000"/>
              </a:solidFill>
              <a:latin typeface="Courier New"/>
              <a:cs typeface="Courier New"/>
            </a:rPr>
            <a:t>     sex.color</a:t>
          </a:r>
        </a:p>
        <a:p>
          <a:pPr algn="l" rtl="0">
            <a:defRPr sz="1000"/>
          </a:pPr>
          <a:r>
            <a:rPr lang="en-US" sz="800" b="0" i="0" u="none" strike="noStrike" baseline="0">
              <a:solidFill>
                <a:srgbClr val="000000"/>
              </a:solidFill>
              <a:latin typeface="Courier New"/>
              <a:cs typeface="Courier New"/>
            </a:rPr>
            <a:t>12     male.white                         0.059**     0.009</a:t>
          </a:r>
        </a:p>
        <a:p>
          <a:pPr algn="l" rtl="0">
            <a:defRPr sz="1000"/>
          </a:pPr>
          <a:r>
            <a:rPr lang="en-US" sz="800" b="0" i="0" u="none" strike="noStrike" baseline="0">
              <a:solidFill>
                <a:srgbClr val="000000"/>
              </a:solidFill>
              <a:latin typeface="Courier New"/>
              <a:cs typeface="Courier New"/>
            </a:rPr>
            <a:t>13     male.black                        -0.083**     0.011</a:t>
          </a:r>
        </a:p>
        <a:p>
          <a:pPr algn="l" rtl="0">
            <a:defRPr sz="1000"/>
          </a:pPr>
          <a:r>
            <a:rPr lang="en-US" sz="800" b="0" i="0" u="none" strike="noStrike" baseline="0">
              <a:solidFill>
                <a:srgbClr val="000000"/>
              </a:solidFill>
              <a:latin typeface="Courier New"/>
              <a:cs typeface="Courier New"/>
            </a:rPr>
            <a:t>14   _cons                                7.033**     0.012</a:t>
          </a: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  p &lt; .05</a:t>
          </a:r>
        </a:p>
        <a:p>
          <a:pPr algn="l" rtl="0">
            <a:defRPr sz="1000"/>
          </a:pPr>
          <a:r>
            <a:rPr lang="en-US" sz="800" b="0" i="0" u="none" strike="noStrike" baseline="0">
              <a:solidFill>
                <a:srgbClr val="000000"/>
              </a:solidFill>
              <a:latin typeface="Courier New"/>
              <a:cs typeface="Courier New"/>
            </a:rPr>
            <a:t>** p &lt; .01</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poisgof</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Goodness-of-fit chi2  =  100.2395</a:t>
          </a:r>
        </a:p>
        <a:p>
          <a:pPr algn="l" rtl="0">
            <a:defRPr sz="1000"/>
          </a:pPr>
          <a:r>
            <a:rPr lang="en-US" sz="800" b="0" i="0" u="none" strike="noStrike" baseline="0">
              <a:solidFill>
                <a:srgbClr val="000000"/>
              </a:solidFill>
              <a:latin typeface="Courier New"/>
              <a:cs typeface="Courier New"/>
            </a:rPr>
            <a:t>         Prob &gt; chi2(4)        =    0.0000</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poisgof, pearson</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Goodness-of-fit chi2  =  104.0537</a:t>
          </a:r>
        </a:p>
        <a:p>
          <a:pPr algn="l" rtl="0">
            <a:defRPr sz="1000"/>
          </a:pPr>
          <a:r>
            <a:rPr lang="en-US" sz="800" b="0" i="0" u="none" strike="noStrike" baseline="0">
              <a:solidFill>
                <a:srgbClr val="000000"/>
              </a:solidFill>
              <a:latin typeface="Courier New"/>
              <a:cs typeface="Courier New"/>
            </a:rPr>
            <a:t>         Prob &gt; chi2(4)        =    0.0000</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a:t>
          </a:r>
        </a:p>
        <a:p>
          <a:pPr algn="l" rtl="0">
            <a:defRPr sz="1000"/>
          </a:pPr>
          <a:endParaRPr lang="en-US" sz="800" b="0" i="0" u="none" strike="noStrike" baseline="0">
            <a:solidFill>
              <a:srgbClr val="000000"/>
            </a:solidFill>
            <a:latin typeface="Courier New"/>
            <a:cs typeface="Courier New"/>
          </a:endParaRPr>
        </a:p>
      </xdr:txBody>
    </xdr:sp>
    <xdr:clientData/>
  </xdr:twoCellAnchor>
  <xdr:twoCellAnchor>
    <xdr:from>
      <xdr:col>21</xdr:col>
      <xdr:colOff>447675</xdr:colOff>
      <xdr:row>10</xdr:row>
      <xdr:rowOff>104775</xdr:rowOff>
    </xdr:from>
    <xdr:to>
      <xdr:col>28</xdr:col>
      <xdr:colOff>333375</xdr:colOff>
      <xdr:row>66</xdr:row>
      <xdr:rowOff>142875</xdr:rowOff>
    </xdr:to>
    <xdr:sp macro="" textlink="">
      <xdr:nvSpPr>
        <xdr:cNvPr id="14341" name="Text Box 5"/>
        <xdr:cNvSpPr txBox="1">
          <a:spLocks noChangeArrowheads="1"/>
        </xdr:cNvSpPr>
      </xdr:nvSpPr>
      <xdr:spPr bwMode="auto">
        <a:xfrm>
          <a:off x="13249275" y="1628775"/>
          <a:ext cx="4152900" cy="85725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800" b="0" i="0" u="none" strike="noStrike" baseline="0">
              <a:solidFill>
                <a:srgbClr val="000000"/>
              </a:solidFill>
              <a:latin typeface="Courier New"/>
              <a:cs typeface="Courier New"/>
            </a:rPr>
            <a:t>M4 This is the preferred model, C+E's model 3. It has the same coefficients as the weighted models, M2 and M3 but the SE are the same as the unweighted model, M1. We use the inverse of the weights as an exposure in STATA.</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desmat: poisson   uwcount labor*sex=dev(3)*dev(2) labor*color=dev(3)*dev(3) sex*color=dev(2)*dev(3), exposure( invweight)</a:t>
          </a: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   Poisson regression</a:t>
          </a: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   Dependent variable                               uwcount</a:t>
          </a:r>
        </a:p>
        <a:p>
          <a:pPr algn="l" rtl="0">
            <a:defRPr sz="1000"/>
          </a:pPr>
          <a:r>
            <a:rPr lang="en-US" sz="800" b="0" i="0" u="none" strike="noStrike" baseline="0">
              <a:solidFill>
                <a:srgbClr val="000000"/>
              </a:solidFill>
              <a:latin typeface="Courier New"/>
              <a:cs typeface="Courier New"/>
            </a:rPr>
            <a:t>   Optimization:                                         ml</a:t>
          </a:r>
        </a:p>
        <a:p>
          <a:pPr algn="l" rtl="0">
            <a:defRPr sz="1000"/>
          </a:pPr>
          <a:r>
            <a:rPr lang="en-US" sz="800" b="0" i="0" u="none" strike="noStrike" baseline="0">
              <a:solidFill>
                <a:srgbClr val="000000"/>
              </a:solidFill>
              <a:latin typeface="Courier New"/>
              <a:cs typeface="Courier New"/>
            </a:rPr>
            <a:t>   Number of observations:                               18</a:t>
          </a:r>
        </a:p>
        <a:p>
          <a:pPr algn="l" rtl="0">
            <a:defRPr sz="1000"/>
          </a:pPr>
          <a:r>
            <a:rPr lang="en-US" sz="800" b="0" i="0" u="none" strike="noStrike" baseline="0">
              <a:solidFill>
                <a:srgbClr val="000000"/>
              </a:solidFill>
              <a:latin typeface="Courier New"/>
              <a:cs typeface="Courier New"/>
            </a:rPr>
            <a:t>   Initial log likelihood:                       -84619.027</a:t>
          </a:r>
        </a:p>
        <a:p>
          <a:pPr algn="l" rtl="0">
            <a:defRPr sz="1000"/>
          </a:pPr>
          <a:r>
            <a:rPr lang="en-US" sz="800" b="0" i="0" u="none" strike="noStrike" baseline="0">
              <a:solidFill>
                <a:srgbClr val="000000"/>
              </a:solidFill>
              <a:latin typeface="Courier New"/>
              <a:cs typeface="Courier New"/>
            </a:rPr>
            <a:t>   Log likelihood:                                 -124.919</a:t>
          </a:r>
        </a:p>
        <a:p>
          <a:pPr algn="l" rtl="0">
            <a:defRPr sz="1000"/>
          </a:pPr>
          <a:r>
            <a:rPr lang="en-US" sz="800" b="0" i="0" u="none" strike="noStrike" baseline="0">
              <a:solidFill>
                <a:srgbClr val="000000"/>
              </a:solidFill>
              <a:latin typeface="Courier New"/>
              <a:cs typeface="Courier New"/>
            </a:rPr>
            <a:t>   LR chi square:                                168988.216</a:t>
          </a:r>
        </a:p>
        <a:p>
          <a:pPr algn="l" rtl="0">
            <a:defRPr sz="1000"/>
          </a:pPr>
          <a:r>
            <a:rPr lang="en-US" sz="800" b="0" i="0" u="none" strike="noStrike" baseline="0">
              <a:solidFill>
                <a:srgbClr val="000000"/>
              </a:solidFill>
              <a:latin typeface="Courier New"/>
              <a:cs typeface="Courier New"/>
            </a:rPr>
            <a:t>   Model degrees of freedom:                             13</a:t>
          </a:r>
        </a:p>
        <a:p>
          <a:pPr algn="l" rtl="0">
            <a:defRPr sz="1000"/>
          </a:pPr>
          <a:r>
            <a:rPr lang="en-US" sz="800" b="0" i="0" u="none" strike="noStrike" baseline="0">
              <a:solidFill>
                <a:srgbClr val="000000"/>
              </a:solidFill>
              <a:latin typeface="Courier New"/>
              <a:cs typeface="Courier New"/>
            </a:rPr>
            <a:t>   Pseudo R-squared:                                  0.999</a:t>
          </a:r>
        </a:p>
        <a:p>
          <a:pPr algn="l" rtl="0">
            <a:defRPr sz="1000"/>
          </a:pPr>
          <a:r>
            <a:rPr lang="en-US" sz="800" b="0" i="0" u="none" strike="noStrike" baseline="0">
              <a:solidFill>
                <a:srgbClr val="000000"/>
              </a:solidFill>
              <a:latin typeface="Courier New"/>
              <a:cs typeface="Courier New"/>
            </a:rPr>
            <a:t>   Prob:                                              0.000</a:t>
          </a: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nr Effect                                 Coeff        s.e.</a:t>
          </a: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   uwcount</a:t>
          </a:r>
        </a:p>
        <a:p>
          <a:pPr algn="l" rtl="0">
            <a:defRPr sz="1000"/>
          </a:pPr>
          <a:r>
            <a:rPr lang="en-US" sz="800" b="0" i="0" u="none" strike="noStrike" baseline="0">
              <a:solidFill>
                <a:srgbClr val="000000"/>
              </a:solidFill>
              <a:latin typeface="Courier New"/>
              <a:cs typeface="Courier New"/>
            </a:rPr>
            <a:t>     labor</a:t>
          </a:r>
        </a:p>
        <a:p>
          <a:pPr algn="l" rtl="0">
            <a:defRPr sz="1000"/>
          </a:pPr>
          <a:r>
            <a:rPr lang="en-US" sz="800" b="0" i="0" u="none" strike="noStrike" baseline="0">
              <a:solidFill>
                <a:srgbClr val="000000"/>
              </a:solidFill>
              <a:latin typeface="Courier New"/>
              <a:cs typeface="Courier New"/>
            </a:rPr>
            <a:t>1      unemployed                        -0.688**     0.018</a:t>
          </a:r>
        </a:p>
        <a:p>
          <a:pPr algn="l" rtl="0">
            <a:defRPr sz="1000"/>
          </a:pPr>
          <a:r>
            <a:rPr lang="en-US" sz="800" b="0" i="0" u="none" strike="noStrike" baseline="0">
              <a:solidFill>
                <a:srgbClr val="000000"/>
              </a:solidFill>
              <a:latin typeface="Courier New"/>
              <a:cs typeface="Courier New"/>
            </a:rPr>
            <a:t>2      part-time                         -0.440**     0.017</a:t>
          </a:r>
        </a:p>
        <a:p>
          <a:pPr algn="l" rtl="0">
            <a:defRPr sz="1000"/>
          </a:pPr>
          <a:r>
            <a:rPr lang="en-US" sz="800" b="0" i="0" u="none" strike="noStrike" baseline="0">
              <a:solidFill>
                <a:srgbClr val="000000"/>
              </a:solidFill>
              <a:latin typeface="Courier New"/>
              <a:cs typeface="Courier New"/>
            </a:rPr>
            <a:t>     sex</a:t>
          </a:r>
        </a:p>
        <a:p>
          <a:pPr algn="l" rtl="0">
            <a:defRPr sz="1000"/>
          </a:pPr>
          <a:r>
            <a:rPr lang="en-US" sz="800" b="0" i="0" u="none" strike="noStrike" baseline="0">
              <a:solidFill>
                <a:srgbClr val="000000"/>
              </a:solidFill>
              <a:latin typeface="Courier New"/>
              <a:cs typeface="Courier New"/>
            </a:rPr>
            <a:t>3      male                               0.013       0.009</a:t>
          </a:r>
        </a:p>
        <a:p>
          <a:pPr algn="l" rtl="0">
            <a:defRPr sz="1000"/>
          </a:pPr>
          <a:r>
            <a:rPr lang="en-US" sz="800" b="0" i="0" u="none" strike="noStrike" baseline="0">
              <a:solidFill>
                <a:srgbClr val="000000"/>
              </a:solidFill>
              <a:latin typeface="Courier New"/>
              <a:cs typeface="Courier New"/>
            </a:rPr>
            <a:t>     labor.sex</a:t>
          </a:r>
        </a:p>
        <a:p>
          <a:pPr algn="l" rtl="0">
            <a:defRPr sz="1000"/>
          </a:pPr>
          <a:r>
            <a:rPr lang="en-US" sz="800" b="0" i="0" u="none" strike="noStrike" baseline="0">
              <a:solidFill>
                <a:srgbClr val="000000"/>
              </a:solidFill>
              <a:latin typeface="Courier New"/>
              <a:cs typeface="Courier New"/>
            </a:rPr>
            <a:t>4      unemployed.male                    0.166**     0.009</a:t>
          </a:r>
        </a:p>
        <a:p>
          <a:pPr algn="l" rtl="0">
            <a:defRPr sz="1000"/>
          </a:pPr>
          <a:r>
            <a:rPr lang="en-US" sz="800" b="0" i="0" u="none" strike="noStrike" baseline="0">
              <a:solidFill>
                <a:srgbClr val="000000"/>
              </a:solidFill>
              <a:latin typeface="Courier New"/>
              <a:cs typeface="Courier New"/>
            </a:rPr>
            <a:t>5      part-time.male                    -0.343**     0.007</a:t>
          </a:r>
        </a:p>
        <a:p>
          <a:pPr algn="l" rtl="0">
            <a:defRPr sz="1000"/>
          </a:pPr>
          <a:r>
            <a:rPr lang="en-US" sz="800" b="0" i="0" u="none" strike="noStrike" baseline="0">
              <a:solidFill>
                <a:srgbClr val="000000"/>
              </a:solidFill>
              <a:latin typeface="Courier New"/>
              <a:cs typeface="Courier New"/>
            </a:rPr>
            <a:t>     color</a:t>
          </a:r>
        </a:p>
        <a:p>
          <a:pPr algn="l" rtl="0">
            <a:defRPr sz="1000"/>
          </a:pPr>
          <a:r>
            <a:rPr lang="en-US" sz="800" b="0" i="0" u="none" strike="noStrike" baseline="0">
              <a:solidFill>
                <a:srgbClr val="000000"/>
              </a:solidFill>
              <a:latin typeface="Courier New"/>
              <a:cs typeface="Courier New"/>
            </a:rPr>
            <a:t>6      white                              1.860**     0.011</a:t>
          </a:r>
        </a:p>
        <a:p>
          <a:pPr algn="l" rtl="0">
            <a:defRPr sz="1000"/>
          </a:pPr>
          <a:r>
            <a:rPr lang="en-US" sz="800" b="0" i="0" u="none" strike="noStrike" baseline="0">
              <a:solidFill>
                <a:srgbClr val="000000"/>
              </a:solidFill>
              <a:latin typeface="Courier New"/>
              <a:cs typeface="Courier New"/>
            </a:rPr>
            <a:t>7      black                             -0.136**     0.014</a:t>
          </a:r>
        </a:p>
        <a:p>
          <a:pPr algn="l" rtl="0">
            <a:defRPr sz="1000"/>
          </a:pPr>
          <a:r>
            <a:rPr lang="en-US" sz="800" b="0" i="0" u="none" strike="noStrike" baseline="0">
              <a:solidFill>
                <a:srgbClr val="000000"/>
              </a:solidFill>
              <a:latin typeface="Courier New"/>
              <a:cs typeface="Courier New"/>
            </a:rPr>
            <a:t>     labor.color</a:t>
          </a:r>
        </a:p>
        <a:p>
          <a:pPr algn="l" rtl="0">
            <a:defRPr sz="1000"/>
          </a:pPr>
          <a:r>
            <a:rPr lang="en-US" sz="800" b="0" i="0" u="none" strike="noStrike" baseline="0">
              <a:solidFill>
                <a:srgbClr val="000000"/>
              </a:solidFill>
              <a:latin typeface="Courier New"/>
              <a:cs typeface="Courier New"/>
            </a:rPr>
            <a:t>8      unemployed.white                  -0.265**     0.018</a:t>
          </a:r>
        </a:p>
        <a:p>
          <a:pPr algn="l" rtl="0">
            <a:defRPr sz="1000"/>
          </a:pPr>
          <a:r>
            <a:rPr lang="en-US" sz="800" b="0" i="0" u="none" strike="noStrike" baseline="0">
              <a:solidFill>
                <a:srgbClr val="000000"/>
              </a:solidFill>
              <a:latin typeface="Courier New"/>
              <a:cs typeface="Courier New"/>
            </a:rPr>
            <a:t>9      unemployed.black                   0.386**     0.022</a:t>
          </a:r>
        </a:p>
        <a:p>
          <a:pPr algn="l" rtl="0">
            <a:defRPr sz="1000"/>
          </a:pPr>
          <a:r>
            <a:rPr lang="en-US" sz="800" b="0" i="0" u="none" strike="noStrike" baseline="0">
              <a:solidFill>
                <a:srgbClr val="000000"/>
              </a:solidFill>
              <a:latin typeface="Courier New"/>
              <a:cs typeface="Courier New"/>
            </a:rPr>
            <a:t>10     part-time.white                    0.191**     0.017</a:t>
          </a:r>
        </a:p>
        <a:p>
          <a:pPr algn="l" rtl="0">
            <a:defRPr sz="1000"/>
          </a:pPr>
          <a:r>
            <a:rPr lang="en-US" sz="800" b="0" i="0" u="none" strike="noStrike" baseline="0">
              <a:solidFill>
                <a:srgbClr val="000000"/>
              </a:solidFill>
              <a:latin typeface="Courier New"/>
              <a:cs typeface="Courier New"/>
            </a:rPr>
            <a:t>11     part-time.black                   -0.238**     0.022</a:t>
          </a:r>
        </a:p>
        <a:p>
          <a:pPr algn="l" rtl="0">
            <a:defRPr sz="1000"/>
          </a:pPr>
          <a:r>
            <a:rPr lang="en-US" sz="800" b="0" i="0" u="none" strike="noStrike" baseline="0">
              <a:solidFill>
                <a:srgbClr val="000000"/>
              </a:solidFill>
              <a:latin typeface="Courier New"/>
              <a:cs typeface="Courier New"/>
            </a:rPr>
            <a:t>     sex.color</a:t>
          </a:r>
        </a:p>
        <a:p>
          <a:pPr algn="l" rtl="0">
            <a:defRPr sz="1000"/>
          </a:pPr>
          <a:r>
            <a:rPr lang="en-US" sz="800" b="0" i="0" u="none" strike="noStrike" baseline="0">
              <a:solidFill>
                <a:srgbClr val="000000"/>
              </a:solidFill>
              <a:latin typeface="Courier New"/>
              <a:cs typeface="Courier New"/>
            </a:rPr>
            <a:t>12     male.white                         0.058**     0.009</a:t>
          </a:r>
        </a:p>
        <a:p>
          <a:pPr algn="l" rtl="0">
            <a:defRPr sz="1000"/>
          </a:pPr>
          <a:r>
            <a:rPr lang="en-US" sz="800" b="0" i="0" u="none" strike="noStrike" baseline="0">
              <a:solidFill>
                <a:srgbClr val="000000"/>
              </a:solidFill>
              <a:latin typeface="Courier New"/>
              <a:cs typeface="Courier New"/>
            </a:rPr>
            <a:t>13     male.black                        -0.085**     0.011</a:t>
          </a:r>
        </a:p>
        <a:p>
          <a:pPr algn="l" rtl="0">
            <a:defRPr sz="1000"/>
          </a:pPr>
          <a:r>
            <a:rPr lang="en-US" sz="800" b="0" i="0" u="none" strike="noStrike" baseline="0">
              <a:solidFill>
                <a:srgbClr val="000000"/>
              </a:solidFill>
              <a:latin typeface="Courier New"/>
              <a:cs typeface="Courier New"/>
            </a:rPr>
            <a:t>14   _cons                               14.292**     0.011</a:t>
          </a:r>
        </a:p>
        <a:p>
          <a:pPr algn="l" rtl="0">
            <a:defRPr sz="1000"/>
          </a:pPr>
          <a:r>
            <a:rPr lang="en-US" sz="800" b="0" i="0" u="none" strike="noStrike" baseline="0">
              <a:solidFill>
                <a:srgbClr val="000000"/>
              </a:solidFill>
              <a:latin typeface="Courier New"/>
              <a:cs typeface="Courier New"/>
            </a:rPr>
            <a:t>     ln(invweight)                                          </a:t>
          </a:r>
        </a:p>
        <a:p>
          <a:pPr algn="l" rtl="0">
            <a:defRPr sz="1000"/>
          </a:pPr>
          <a:r>
            <a:rPr lang="en-US" sz="800" b="0" i="0" u="none" strike="noStrike" baseline="0">
              <a:solidFill>
                <a:srgbClr val="000000"/>
              </a:solidFill>
              <a:latin typeface="Courier New"/>
              <a:cs typeface="Courier New"/>
            </a:rPr>
            <a:t>&gt;            (offset)</a:t>
          </a: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  p &lt; .05</a:t>
          </a:r>
        </a:p>
        <a:p>
          <a:pPr algn="l" rtl="0">
            <a:defRPr sz="1000"/>
          </a:pPr>
          <a:r>
            <a:rPr lang="en-US" sz="800" b="0" i="0" u="none" strike="noStrike" baseline="0">
              <a:solidFill>
                <a:srgbClr val="000000"/>
              </a:solidFill>
              <a:latin typeface="Courier New"/>
              <a:cs typeface="Courier New"/>
            </a:rPr>
            <a:t>** p &lt; .01</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poisgof</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Goodness-of-fit chi2  =  89.58815</a:t>
          </a:r>
        </a:p>
        <a:p>
          <a:pPr algn="l" rtl="0">
            <a:defRPr sz="1000"/>
          </a:pPr>
          <a:r>
            <a:rPr lang="en-US" sz="800" b="0" i="0" u="none" strike="noStrike" baseline="0">
              <a:solidFill>
                <a:srgbClr val="000000"/>
              </a:solidFill>
              <a:latin typeface="Courier New"/>
              <a:cs typeface="Courier New"/>
            </a:rPr>
            <a:t>         Prob &gt; chi2(4)        =    0.0000</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poisgof, pearson</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Goodness-of-fit chi2  =  93.54537</a:t>
          </a:r>
        </a:p>
        <a:p>
          <a:pPr algn="l" rtl="0">
            <a:defRPr sz="1000"/>
          </a:pPr>
          <a:r>
            <a:rPr lang="en-US" sz="800" b="0" i="0" u="none" strike="noStrike" baseline="0">
              <a:solidFill>
                <a:srgbClr val="000000"/>
              </a:solidFill>
              <a:latin typeface="Courier New"/>
              <a:cs typeface="Courier New"/>
            </a:rPr>
            <a:t>         Prob &gt; chi2(4)        =    0.0000</a:t>
          </a:r>
        </a:p>
        <a:p>
          <a:pPr algn="l" rtl="0">
            <a:defRPr sz="1000"/>
          </a:pPr>
          <a:endParaRPr lang="en-US" sz="800" b="0" i="0" u="none" strike="noStrike" baseline="0">
            <a:solidFill>
              <a:srgbClr val="000000"/>
            </a:solidFill>
            <a:latin typeface="Courier New"/>
            <a:cs typeface="Courier New"/>
          </a:endParaRP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1</xdr:col>
      <xdr:colOff>438150</xdr:colOff>
      <xdr:row>28</xdr:row>
      <xdr:rowOff>19050</xdr:rowOff>
    </xdr:from>
    <xdr:to>
      <xdr:col>9</xdr:col>
      <xdr:colOff>571500</xdr:colOff>
      <xdr:row>103</xdr:row>
      <xdr:rowOff>19050</xdr:rowOff>
    </xdr:to>
    <xdr:sp macro="" textlink="">
      <xdr:nvSpPr>
        <xdr:cNvPr id="6145" name="Text Box 1"/>
        <xdr:cNvSpPr txBox="1">
          <a:spLocks noChangeArrowheads="1"/>
        </xdr:cNvSpPr>
      </xdr:nvSpPr>
      <xdr:spPr bwMode="auto">
        <a:xfrm>
          <a:off x="1047750" y="4286250"/>
          <a:ext cx="6410325" cy="114300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en-US" sz="900" b="0" i="0" u="none" strike="noStrike" baseline="0">
              <a:solidFill>
                <a:srgbClr val="000000"/>
              </a:solidFill>
              <a:latin typeface="Courier"/>
            </a:rPr>
            <a:t>So, Does race make a difference in death penalty cases?  How?  What do the marginal percentages show?  Leaving all other factors aside, Whites are actually more likely to get the death penalty.</a:t>
          </a:r>
        </a:p>
        <a:p>
          <a:pPr algn="l" rtl="0">
            <a:defRPr sz="1000"/>
          </a:pPr>
          <a:r>
            <a:rPr lang="en-US" sz="900" b="0" i="0" u="none" strike="noStrike" baseline="0">
              <a:solidFill>
                <a:srgbClr val="000000"/>
              </a:solidFill>
              <a:latin typeface="Courier"/>
            </a:rPr>
            <a:t>So What's going on?  Whites are more more likely to kill Whites, and crimes with White victims are more likely to receive the death penalty...</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Model 6:</a:t>
          </a:r>
        </a:p>
        <a:p>
          <a:pPr algn="l" rtl="0">
            <a:defRPr sz="1000"/>
          </a:pPr>
          <a:r>
            <a:rPr lang="en-US" sz="900" b="0" i="0" u="none" strike="noStrike" baseline="0">
              <a:solidFill>
                <a:srgbClr val="000000"/>
              </a:solidFill>
              <a:latin typeface="Courier"/>
            </a:rPr>
            <a:t>desmat: poisson count  defendant*victim victim*penalty</a:t>
          </a:r>
        </a:p>
        <a:p>
          <a:pPr algn="l" rtl="0">
            <a:defRPr sz="1000"/>
          </a:pPr>
          <a:r>
            <a:rPr lang="en-US" sz="900" b="0" i="0" u="none" strike="noStrike" baseline="0">
              <a:solidFill>
                <a:srgbClr val="000000"/>
              </a:solidFill>
              <a:latin typeface="Courier"/>
            </a:rPr>
            <a:t>...</a:t>
          </a:r>
        </a:p>
        <a:p>
          <a:pPr algn="l" rtl="0">
            <a:defRPr sz="1000"/>
          </a:pPr>
          <a:endParaRPr lang="en-US" sz="900" b="0" i="0" u="none" strike="noStrike" baseline="0">
            <a:solidFill>
              <a:srgbClr val="000000"/>
            </a:solidFill>
            <a:latin typeface="Courier"/>
          </a:endParaRP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 desrep, sigcut (.05 .01 .001) sigsym (* ** ***)</a:t>
          </a:r>
        </a:p>
        <a:p>
          <a:pPr algn="l" rtl="0">
            <a:defRPr sz="1000"/>
          </a:pPr>
          <a:r>
            <a:rPr lang="en-US" sz="900" b="0" i="0" u="none" strike="noStrike" baseline="0">
              <a:solidFill>
                <a:srgbClr val="000000"/>
              </a:solidFill>
              <a:latin typeface="Courier"/>
            </a:rPr>
            <a:t>-------------------------------------------------------------------------------</a:t>
          </a:r>
        </a:p>
        <a:p>
          <a:pPr algn="l" rtl="0">
            <a:defRPr sz="1000"/>
          </a:pPr>
          <a:r>
            <a:rPr lang="en-US" sz="900" b="0" i="0" u="none" strike="noStrike" baseline="0">
              <a:solidFill>
                <a:srgbClr val="000000"/>
              </a:solidFill>
              <a:latin typeface="Courier"/>
            </a:rPr>
            <a:t>   Poisson regression</a:t>
          </a:r>
        </a:p>
        <a:p>
          <a:pPr algn="l" rtl="0">
            <a:defRPr sz="1000"/>
          </a:pPr>
          <a:r>
            <a:rPr lang="en-US" sz="900" b="0" i="0" u="none" strike="noStrike" baseline="0">
              <a:solidFill>
                <a:srgbClr val="000000"/>
              </a:solidFill>
              <a:latin typeface="Courier"/>
            </a:rPr>
            <a:t>-------------------------------------------------------------------------------</a:t>
          </a:r>
        </a:p>
        <a:p>
          <a:pPr algn="l" rtl="0">
            <a:defRPr sz="1000"/>
          </a:pPr>
          <a:r>
            <a:rPr lang="en-US" sz="900" b="0" i="0" u="none" strike="noStrike" baseline="0">
              <a:solidFill>
                <a:srgbClr val="000000"/>
              </a:solidFill>
              <a:latin typeface="Courier"/>
            </a:rPr>
            <a:t>   Dependent variable                                                    count</a:t>
          </a:r>
        </a:p>
        <a:p>
          <a:pPr algn="l" rtl="0">
            <a:defRPr sz="1000"/>
          </a:pPr>
          <a:r>
            <a:rPr lang="en-US" sz="900" b="0" i="0" u="none" strike="noStrike" baseline="0">
              <a:solidFill>
                <a:srgbClr val="000000"/>
              </a:solidFill>
              <a:latin typeface="Courier"/>
            </a:rPr>
            <a:t>   Optimization:                                                            ml</a:t>
          </a:r>
        </a:p>
        <a:p>
          <a:pPr algn="l" rtl="0">
            <a:defRPr sz="1000"/>
          </a:pPr>
          <a:r>
            <a:rPr lang="en-US" sz="900" b="0" i="0" u="none" strike="noStrike" baseline="0">
              <a:solidFill>
                <a:srgbClr val="000000"/>
              </a:solidFill>
              <a:latin typeface="Courier"/>
            </a:rPr>
            <a:t>   Number of observations:                                                   8</a:t>
          </a:r>
        </a:p>
        <a:p>
          <a:pPr algn="l" rtl="0">
            <a:defRPr sz="1000"/>
          </a:pPr>
          <a:r>
            <a:rPr lang="en-US" sz="900" b="0" i="0" u="none" strike="noStrike" baseline="0">
              <a:solidFill>
                <a:srgbClr val="000000"/>
              </a:solidFill>
              <a:latin typeface="Courier"/>
            </a:rPr>
            <a:t>   Initial log likelihood:                                            -215.798</a:t>
          </a:r>
        </a:p>
        <a:p>
          <a:pPr algn="l" rtl="0">
            <a:defRPr sz="1000"/>
          </a:pPr>
          <a:r>
            <a:rPr lang="en-US" sz="900" b="0" i="0" u="none" strike="noStrike" baseline="0">
              <a:solidFill>
                <a:srgbClr val="000000"/>
              </a:solidFill>
              <a:latin typeface="Courier"/>
            </a:rPr>
            <a:t>   Log likelihood:                                                     -18.782</a:t>
          </a:r>
        </a:p>
        <a:p>
          <a:pPr algn="l" rtl="0">
            <a:defRPr sz="1000"/>
          </a:pPr>
          <a:r>
            <a:rPr lang="en-US" sz="900" b="0" i="0" u="none" strike="noStrike" baseline="0">
              <a:solidFill>
                <a:srgbClr val="000000"/>
              </a:solidFill>
              <a:latin typeface="Courier"/>
            </a:rPr>
            <a:t>   LR chi square:                                                      394.033</a:t>
          </a:r>
        </a:p>
        <a:p>
          <a:pPr algn="l" rtl="0">
            <a:defRPr sz="1000"/>
          </a:pPr>
          <a:r>
            <a:rPr lang="en-US" sz="900" b="0" i="0" u="none" strike="noStrike" baseline="0">
              <a:solidFill>
                <a:srgbClr val="000000"/>
              </a:solidFill>
              <a:latin typeface="Courier"/>
            </a:rPr>
            <a:t>   Model degrees of freedom:                                                 5</a:t>
          </a:r>
        </a:p>
        <a:p>
          <a:pPr algn="l" rtl="0">
            <a:defRPr sz="1000"/>
          </a:pPr>
          <a:r>
            <a:rPr lang="en-US" sz="900" b="0" i="0" u="none" strike="noStrike" baseline="0">
              <a:solidFill>
                <a:srgbClr val="000000"/>
              </a:solidFill>
              <a:latin typeface="Courier"/>
            </a:rPr>
            <a:t>   Pseudo R-squared:                                                     0.913</a:t>
          </a:r>
        </a:p>
        <a:p>
          <a:pPr algn="l" rtl="0">
            <a:defRPr sz="1000"/>
          </a:pPr>
          <a:r>
            <a:rPr lang="en-US" sz="900" b="0" i="0" u="none" strike="noStrike" baseline="0">
              <a:solidFill>
                <a:srgbClr val="000000"/>
              </a:solidFill>
              <a:latin typeface="Courier"/>
            </a:rPr>
            <a:t>   Prob:                                                                 0.000</a:t>
          </a:r>
        </a:p>
        <a:p>
          <a:pPr algn="l" rtl="0">
            <a:defRPr sz="1000"/>
          </a:pPr>
          <a:r>
            <a:rPr lang="en-US" sz="900" b="0" i="0" u="none" strike="noStrike" baseline="0">
              <a:solidFill>
                <a:srgbClr val="000000"/>
              </a:solidFill>
              <a:latin typeface="Courier"/>
            </a:rPr>
            <a:t>-------------------------------------------------------------------------------</a:t>
          </a:r>
        </a:p>
        <a:p>
          <a:pPr algn="l" rtl="0">
            <a:defRPr sz="1000"/>
          </a:pPr>
          <a:r>
            <a:rPr lang="en-US" sz="900" b="0" i="0" u="none" strike="noStrike" baseline="0">
              <a:solidFill>
                <a:srgbClr val="000000"/>
              </a:solidFill>
              <a:latin typeface="Courier"/>
            </a:rPr>
            <a:t>nr Effect                                                   Coeff         s.e.</a:t>
          </a:r>
        </a:p>
        <a:p>
          <a:pPr algn="l" rtl="0">
            <a:defRPr sz="1000"/>
          </a:pPr>
          <a:r>
            <a:rPr lang="en-US" sz="900" b="0" i="0" u="none" strike="noStrike" baseline="0">
              <a:solidFill>
                <a:srgbClr val="000000"/>
              </a:solidFill>
              <a:latin typeface="Courier"/>
            </a:rPr>
            <a:t>-------------------------------------------------------------------------------</a:t>
          </a:r>
        </a:p>
        <a:p>
          <a:pPr algn="l" rtl="0">
            <a:defRPr sz="1000"/>
          </a:pPr>
          <a:r>
            <a:rPr lang="en-US" sz="900" b="0" i="0" u="none" strike="noStrike" baseline="0">
              <a:solidFill>
                <a:srgbClr val="000000"/>
              </a:solidFill>
              <a:latin typeface="Courier"/>
            </a:rPr>
            <a:t>   count</a:t>
          </a:r>
        </a:p>
        <a:p>
          <a:pPr algn="l" rtl="0">
            <a:defRPr sz="1000"/>
          </a:pPr>
          <a:r>
            <a:rPr lang="en-US" sz="900" b="0" i="0" u="none" strike="noStrike" baseline="0">
              <a:solidFill>
                <a:srgbClr val="000000"/>
              </a:solidFill>
              <a:latin typeface="Courier"/>
            </a:rPr>
            <a:t>     defendant</a:t>
          </a:r>
        </a:p>
        <a:p>
          <a:pPr algn="l" rtl="0">
            <a:defRPr sz="1000"/>
          </a:pPr>
          <a:r>
            <a:rPr lang="en-US" sz="900" b="0" i="0" u="none" strike="noStrike" baseline="0">
              <a:solidFill>
                <a:srgbClr val="000000"/>
              </a:solidFill>
              <a:latin typeface="Courier"/>
            </a:rPr>
            <a:t>1      black                                               -0.874***     0.150</a:t>
          </a:r>
        </a:p>
        <a:p>
          <a:pPr algn="l" rtl="0">
            <a:defRPr sz="1000"/>
          </a:pPr>
          <a:r>
            <a:rPr lang="en-US" sz="900" b="0" i="0" u="none" strike="noStrike" baseline="0">
              <a:solidFill>
                <a:srgbClr val="000000"/>
              </a:solidFill>
              <a:latin typeface="Courier"/>
            </a:rPr>
            <a:t>     victim</a:t>
          </a:r>
        </a:p>
        <a:p>
          <a:pPr algn="l" rtl="0">
            <a:defRPr sz="1000"/>
          </a:pPr>
          <a:r>
            <a:rPr lang="en-US" sz="900" b="0" i="0" u="none" strike="noStrike" baseline="0">
              <a:solidFill>
                <a:srgbClr val="000000"/>
              </a:solidFill>
              <a:latin typeface="Courier"/>
            </a:rPr>
            <a:t>2      black                                               -2.724***     0.345</a:t>
          </a:r>
        </a:p>
        <a:p>
          <a:pPr algn="l" rtl="0">
            <a:defRPr sz="1000"/>
          </a:pPr>
          <a:r>
            <a:rPr lang="en-US" sz="900" b="0" i="0" u="none" strike="noStrike" baseline="0">
              <a:solidFill>
                <a:srgbClr val="000000"/>
              </a:solidFill>
              <a:latin typeface="Courier"/>
            </a:rPr>
            <a:t>     defendant.victim</a:t>
          </a:r>
        </a:p>
        <a:p>
          <a:pPr algn="l" rtl="0">
            <a:defRPr sz="1000"/>
          </a:pPr>
          <a:r>
            <a:rPr lang="en-US" sz="900" b="0" i="0" u="none" strike="noStrike" baseline="0">
              <a:solidFill>
                <a:srgbClr val="000000"/>
              </a:solidFill>
              <a:latin typeface="Courier"/>
            </a:rPr>
            <a:t>3      black.black                                          3.312***     0.379</a:t>
          </a:r>
        </a:p>
        <a:p>
          <a:pPr algn="l" rtl="0">
            <a:defRPr sz="1000"/>
          </a:pPr>
          <a:r>
            <a:rPr lang="en-US" sz="900" b="0" i="0" u="none" strike="noStrike" baseline="0">
              <a:solidFill>
                <a:srgbClr val="000000"/>
              </a:solidFill>
              <a:latin typeface="Courier"/>
            </a:rPr>
            <a:t>     penalty</a:t>
          </a:r>
        </a:p>
        <a:p>
          <a:pPr algn="l" rtl="0">
            <a:defRPr sz="1000"/>
          </a:pPr>
          <a:r>
            <a:rPr lang="en-US" sz="900" b="0" i="0" u="none" strike="noStrike" baseline="0">
              <a:solidFill>
                <a:srgbClr val="000000"/>
              </a:solidFill>
              <a:latin typeface="Courier"/>
            </a:rPr>
            <a:t>4      yes                                                 -1.814***     0.197</a:t>
          </a:r>
        </a:p>
        <a:p>
          <a:pPr algn="l" rtl="0">
            <a:defRPr sz="1000"/>
          </a:pPr>
          <a:r>
            <a:rPr lang="en-US" sz="900" b="0" i="0" u="none" strike="noStrike" baseline="0">
              <a:solidFill>
                <a:srgbClr val="000000"/>
              </a:solidFill>
              <a:latin typeface="Courier"/>
            </a:rPr>
            <a:t>     victim.penalty</a:t>
          </a:r>
        </a:p>
        <a:p>
          <a:pPr algn="l" rtl="0">
            <a:defRPr sz="1000"/>
          </a:pPr>
          <a:r>
            <a:rPr lang="en-US" sz="900" b="0" i="0" u="none" strike="noStrike" baseline="0">
              <a:solidFill>
                <a:srgbClr val="000000"/>
              </a:solidFill>
              <a:latin typeface="Courier"/>
            </a:rPr>
            <a:t>5      black.yes                                           -1.058*       0.464</a:t>
          </a:r>
        </a:p>
        <a:p>
          <a:pPr algn="l" rtl="0">
            <a:defRPr sz="1000"/>
          </a:pPr>
          <a:r>
            <a:rPr lang="en-US" sz="900" b="0" i="0" u="none" strike="noStrike" baseline="0">
              <a:solidFill>
                <a:srgbClr val="000000"/>
              </a:solidFill>
              <a:latin typeface="Courier"/>
            </a:rPr>
            <a:t>6    _cons                                                  4.866***     0.086</a:t>
          </a:r>
        </a:p>
        <a:p>
          <a:pPr algn="l" rtl="0">
            <a:defRPr sz="1000"/>
          </a:pPr>
          <a:r>
            <a:rPr lang="en-US" sz="900" b="0" i="0" u="none" strike="noStrike" baseline="0">
              <a:solidFill>
                <a:srgbClr val="000000"/>
              </a:solidFill>
              <a:latin typeface="Courier"/>
            </a:rPr>
            <a:t>-------------------------------------------------------------------------------</a:t>
          </a:r>
        </a:p>
        <a:p>
          <a:pPr algn="l" rtl="0">
            <a:defRPr sz="1000"/>
          </a:pPr>
          <a:r>
            <a:rPr lang="en-US" sz="900" b="0" i="0" u="none" strike="noStrike" baseline="0">
              <a:solidFill>
                <a:srgbClr val="000000"/>
              </a:solidFill>
              <a:latin typeface="Courier"/>
            </a:rPr>
            <a:t>*   p &lt; .05</a:t>
          </a:r>
        </a:p>
        <a:p>
          <a:pPr algn="l" rtl="0">
            <a:defRPr sz="1000"/>
          </a:pPr>
          <a:r>
            <a:rPr lang="en-US" sz="900" b="0" i="0" u="none" strike="noStrike" baseline="0">
              <a:solidFill>
                <a:srgbClr val="000000"/>
              </a:solidFill>
              <a:latin typeface="Courier"/>
            </a:rPr>
            <a:t>**  p &lt; .01</a:t>
          </a:r>
        </a:p>
        <a:p>
          <a:pPr algn="l" rtl="0">
            <a:defRPr sz="1000"/>
          </a:pPr>
          <a:r>
            <a:rPr lang="en-US" sz="900" b="0" i="0" u="none" strike="noStrike" baseline="0">
              <a:solidFill>
                <a:srgbClr val="000000"/>
              </a:solidFill>
              <a:latin typeface="Courier"/>
            </a:rPr>
            <a:t>*** p &lt; .001</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 poisgof</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         Goodness-of-fit chi2  =  1.881837</a:t>
          </a:r>
        </a:p>
        <a:p>
          <a:pPr algn="l" rtl="0">
            <a:defRPr sz="1000"/>
          </a:pPr>
          <a:r>
            <a:rPr lang="en-US" sz="900" b="0" i="0" u="none" strike="noStrike" baseline="0">
              <a:solidFill>
                <a:srgbClr val="000000"/>
              </a:solidFill>
              <a:latin typeface="Courier"/>
            </a:rPr>
            <a:t>         Prob &gt; chi2(2)        =    0.3903</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 poisgof, pearson</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         Goodness-of-fit chi2  =  1.431339</a:t>
          </a:r>
        </a:p>
        <a:p>
          <a:pPr algn="l" rtl="0">
            <a:defRPr sz="1000"/>
          </a:pPr>
          <a:r>
            <a:rPr lang="en-US" sz="900" b="0" i="0" u="none" strike="noStrike" baseline="0">
              <a:solidFill>
                <a:srgbClr val="000000"/>
              </a:solidFill>
              <a:latin typeface="Courier"/>
            </a:rPr>
            <a:t>         Prob &gt; chi2(2)        =    0.4889</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 lincom _x_5</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 ( 1)  [count]_x_5 = 0</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a:t>
          </a:r>
        </a:p>
        <a:p>
          <a:pPr algn="l" rtl="0">
            <a:defRPr sz="1000"/>
          </a:pPr>
          <a:r>
            <a:rPr lang="en-US" sz="900" b="0" i="0" u="none" strike="noStrike" baseline="0">
              <a:solidFill>
                <a:srgbClr val="000000"/>
              </a:solidFill>
              <a:latin typeface="Courier"/>
            </a:rPr>
            <a:t>       count |      Coef.   Std. Err.      z    P&gt;|z|     [95% Conf. Interval]</a:t>
          </a:r>
        </a:p>
        <a:p>
          <a:pPr algn="l" rtl="0">
            <a:defRPr sz="1000"/>
          </a:pPr>
          <a:r>
            <a:rPr lang="en-US" sz="900" b="0" i="0" u="none" strike="noStrike" baseline="0">
              <a:solidFill>
                <a:srgbClr val="000000"/>
              </a:solidFill>
              <a:latin typeface="Courier"/>
            </a:rPr>
            <a:t>-------------+----------------------------------------------------------------</a:t>
          </a:r>
        </a:p>
        <a:p>
          <a:pPr algn="l" rtl="0">
            <a:defRPr sz="1000"/>
          </a:pPr>
          <a:r>
            <a:rPr lang="en-US" sz="900" b="0" i="0" u="none" strike="noStrike" baseline="0">
              <a:solidFill>
                <a:srgbClr val="000000"/>
              </a:solidFill>
              <a:latin typeface="Courier"/>
            </a:rPr>
            <a:t>         (1) |  -1.057941   .4635394    -2.28   0.022    -1.966462   -.1494208</a:t>
          </a:r>
        </a:p>
        <a:p>
          <a:pPr algn="l" rtl="0">
            <a:defRPr sz="1000"/>
          </a:pPr>
          <a:r>
            <a:rPr lang="en-US" sz="900" b="0" i="0" u="none" strike="noStrike" baseline="0">
              <a:solidFill>
                <a:srgbClr val="000000"/>
              </a:solidFill>
              <a:latin typeface="Courier"/>
            </a:rPr>
            <a:t>------------------------------------------------------------------------------</a:t>
          </a:r>
        </a:p>
        <a:p>
          <a:pPr algn="l" rtl="0">
            <a:defRPr sz="1000"/>
          </a:pPr>
          <a:endParaRPr lang="en-US" sz="900" b="0" i="0" u="none" strike="noStrike" baseline="0">
            <a:solidFill>
              <a:srgbClr val="000000"/>
            </a:solidFill>
            <a:latin typeface="Geneva"/>
          </a:endParaRPr>
        </a:p>
        <a:p>
          <a:pPr algn="l" rtl="0">
            <a:defRPr sz="1000"/>
          </a:pPr>
          <a:endParaRPr lang="en-US" sz="900" b="0" i="0" u="none" strike="noStrike" baseline="0">
            <a:solidFill>
              <a:srgbClr val="000000"/>
            </a:solidFill>
            <a:latin typeface="Geneva"/>
          </a:endParaRPr>
        </a:p>
        <a:p>
          <a:pPr algn="l" rtl="0">
            <a:defRPr sz="1000"/>
          </a:pPr>
          <a:endParaRPr lang="en-US" sz="900" b="0" i="0" u="none" strike="noStrike" baseline="0">
            <a:solidFill>
              <a:srgbClr val="000000"/>
            </a:solidFill>
            <a:latin typeface="Geneva"/>
          </a:endParaRPr>
        </a:p>
        <a:p>
          <a:pPr algn="l" rtl="0">
            <a:defRPr sz="1000"/>
          </a:pPr>
          <a:r>
            <a:rPr lang="en-US" sz="900" b="0" i="0" u="none" strike="noStrike" baseline="0">
              <a:solidFill>
                <a:srgbClr val="000000"/>
              </a:solidFill>
              <a:latin typeface="Geneva"/>
            </a:rPr>
            <a:t>This model improves on the goodness of fit of Model 5 by about 6 on 1 additional degree of freedom.  That's good progress by LRT, though the parsimony favoring BIC shows models 5 and 6 to be about the same.  In Model 6, above, the interaction between defendant's race and victim's race is very strong, while the interaction between victim's race and the death penalty is significant only at the 5% level.  Still, the effect is potentially strong. Exp(-1.06)=.35, which means the odds of getting the death penalty are 0.35 as high, if the victim is black compared to white victims.  If we had more cases in the dataset, especially more people put to death, we would have a stronger argument about race and the death penalty.  More data is not always better for society, of course.</a:t>
          </a:r>
        </a:p>
      </xdr:txBody>
    </xdr:sp>
    <xdr:clientData/>
  </xdr:twoCellAnchor>
  <xdr:twoCellAnchor>
    <xdr:from>
      <xdr:col>10</xdr:col>
      <xdr:colOff>219075</xdr:colOff>
      <xdr:row>28</xdr:row>
      <xdr:rowOff>0</xdr:rowOff>
    </xdr:from>
    <xdr:to>
      <xdr:col>15</xdr:col>
      <xdr:colOff>342900</xdr:colOff>
      <xdr:row>47</xdr:row>
      <xdr:rowOff>95250</xdr:rowOff>
    </xdr:to>
    <xdr:sp macro="" textlink="">
      <xdr:nvSpPr>
        <xdr:cNvPr id="6146" name="Text Box 2"/>
        <xdr:cNvSpPr txBox="1">
          <a:spLocks noChangeArrowheads="1"/>
        </xdr:cNvSpPr>
      </xdr:nvSpPr>
      <xdr:spPr bwMode="auto">
        <a:xfrm>
          <a:off x="7715250" y="4267200"/>
          <a:ext cx="3562350" cy="299085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Geneva"/>
            </a:rPr>
            <a:t>     The singularly most important interaction in this little dataset is the interaction between victim's race and defendant's race. Using loglinear models it is easy to isolate this factor, but using logistic regression with death penalty as the outcome variable, you can't isolate the interaction between defendant and victim the same way.  The only way to get the d*v interaction into play in the logistic regression actually amounts to estimating the saturated model, and since we have 8 cells with one zero, the saturated model must choke when it tries to fit the data exactly. See below.</a:t>
          </a:r>
        </a:p>
        <a:p>
          <a:pPr algn="l" rtl="0">
            <a:defRPr sz="1000"/>
          </a:pPr>
          <a:endParaRPr lang="en-US" sz="900" b="0" i="0" u="none" strike="noStrike" baseline="0">
            <a:solidFill>
              <a:srgbClr val="000000"/>
            </a:solidFill>
            <a:latin typeface="Geneva"/>
          </a:endParaRPr>
        </a:p>
        <a:p>
          <a:pPr algn="l" rtl="0">
            <a:defRPr sz="1000"/>
          </a:pPr>
          <a:r>
            <a:rPr lang="en-US" sz="900" b="0" i="0" u="none" strike="noStrike" baseline="0">
              <a:solidFill>
                <a:srgbClr val="000000"/>
              </a:solidFill>
              <a:latin typeface="Geneva"/>
            </a:rPr>
            <a:t>       Also notice that the LRT between models (say between model 2 and model 3.5) is different (in df and in chisquare value) between equivalent models for loglinear and logistic regression. This is because the logistic regressions collapse the dataset according to which variables you put into the model, whereas loglinear models figure your likelihood and your goodness of fit on all 8 cells regardless of which variables you include.</a:t>
          </a:r>
        </a:p>
      </xdr:txBody>
    </xdr:sp>
    <xdr:clientData/>
  </xdr:twoCellAnchor>
  <xdr:twoCellAnchor>
    <xdr:from>
      <xdr:col>10</xdr:col>
      <xdr:colOff>190500</xdr:colOff>
      <xdr:row>49</xdr:row>
      <xdr:rowOff>9525</xdr:rowOff>
    </xdr:from>
    <xdr:to>
      <xdr:col>17</xdr:col>
      <xdr:colOff>152400</xdr:colOff>
      <xdr:row>119</xdr:row>
      <xdr:rowOff>133350</xdr:rowOff>
    </xdr:to>
    <xdr:sp macro="" textlink="">
      <xdr:nvSpPr>
        <xdr:cNvPr id="6147" name="Text Box 3"/>
        <xdr:cNvSpPr txBox="1">
          <a:spLocks noChangeArrowheads="1"/>
        </xdr:cNvSpPr>
      </xdr:nvSpPr>
      <xdr:spPr bwMode="auto">
        <a:xfrm>
          <a:off x="7686675" y="7477125"/>
          <a:ext cx="4619625" cy="107918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800" b="0" i="0" u="none" strike="noStrike" baseline="0">
              <a:solidFill>
                <a:srgbClr val="000000"/>
              </a:solidFill>
              <a:latin typeface="Courier New"/>
              <a:cs typeface="Courier New"/>
            </a:rPr>
            <a:t> Here are the two versions of model 8, with count+1 as the dependent variable (to artificially get rid of the zero). Notice that in the logistic version the d*v interaction corresponds to the insignificant d*v*p threeway interaction from the loglinear model. There is no analog in the logistic model to the d*v interaction in the loglinear model.</a:t>
          </a:r>
        </a:p>
        <a:p>
          <a:pPr algn="l" rtl="0">
            <a:defRPr sz="1000"/>
          </a:pPr>
          <a:endParaRPr lang="en-US" sz="800" b="0" i="0" u="none" strike="noStrike" baseline="0">
            <a:solidFill>
              <a:srgbClr val="000000"/>
            </a:solidFill>
            <a:latin typeface="Courier New"/>
            <a:cs typeface="Courier New"/>
          </a:endParaRP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desmat: poisson  count_plus1 defendant*victim*deathpenalty</a:t>
          </a: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   Poisson regression</a:t>
          </a: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   Dependent variable                           count_plus1</a:t>
          </a:r>
        </a:p>
        <a:p>
          <a:pPr algn="l" rtl="0">
            <a:defRPr sz="1000"/>
          </a:pPr>
          <a:r>
            <a:rPr lang="en-US" sz="800" b="0" i="0" u="none" strike="noStrike" baseline="0">
              <a:solidFill>
                <a:srgbClr val="000000"/>
              </a:solidFill>
              <a:latin typeface="Courier New"/>
              <a:cs typeface="Courier New"/>
            </a:rPr>
            <a:t>   Optimization:                                         ml</a:t>
          </a:r>
        </a:p>
        <a:p>
          <a:pPr algn="l" rtl="0">
            <a:defRPr sz="1000"/>
          </a:pPr>
          <a:r>
            <a:rPr lang="en-US" sz="800" b="0" i="0" u="none" strike="noStrike" baseline="0">
              <a:solidFill>
                <a:srgbClr val="000000"/>
              </a:solidFill>
              <a:latin typeface="Courier New"/>
              <a:cs typeface="Courier New"/>
            </a:rPr>
            <a:t>   Number of observations:                                8</a:t>
          </a:r>
        </a:p>
        <a:p>
          <a:pPr algn="l" rtl="0">
            <a:defRPr sz="1000"/>
          </a:pPr>
          <a:r>
            <a:rPr lang="en-US" sz="800" b="0" i="0" u="none" strike="noStrike" baseline="0">
              <a:solidFill>
                <a:srgbClr val="000000"/>
              </a:solidFill>
              <a:latin typeface="Courier New"/>
              <a:cs typeface="Courier New"/>
            </a:rPr>
            <a:t>   Initial log likelihood:                         -209.216</a:t>
          </a:r>
        </a:p>
        <a:p>
          <a:pPr algn="l" rtl="0">
            <a:defRPr sz="1000"/>
          </a:pPr>
          <a:r>
            <a:rPr lang="en-US" sz="800" b="0" i="0" u="none" strike="noStrike" baseline="0">
              <a:solidFill>
                <a:srgbClr val="000000"/>
              </a:solidFill>
              <a:latin typeface="Courier New"/>
              <a:cs typeface="Courier New"/>
            </a:rPr>
            <a:t>   Log likelihood:                                  -19.054</a:t>
          </a:r>
        </a:p>
        <a:p>
          <a:pPr algn="l" rtl="0">
            <a:defRPr sz="1000"/>
          </a:pPr>
          <a:r>
            <a:rPr lang="en-US" sz="800" b="0" i="0" u="none" strike="noStrike" baseline="0">
              <a:solidFill>
                <a:srgbClr val="000000"/>
              </a:solidFill>
              <a:latin typeface="Courier New"/>
              <a:cs typeface="Courier New"/>
            </a:rPr>
            <a:t>   LR chi square:                                   380.324</a:t>
          </a:r>
        </a:p>
        <a:p>
          <a:pPr algn="l" rtl="0">
            <a:defRPr sz="1000"/>
          </a:pPr>
          <a:r>
            <a:rPr lang="en-US" sz="800" b="0" i="0" u="none" strike="noStrike" baseline="0">
              <a:solidFill>
                <a:srgbClr val="000000"/>
              </a:solidFill>
              <a:latin typeface="Courier New"/>
              <a:cs typeface="Courier New"/>
            </a:rPr>
            <a:t>   Model degrees of freedom:                              7</a:t>
          </a:r>
        </a:p>
        <a:p>
          <a:pPr algn="l" rtl="0">
            <a:defRPr sz="1000"/>
          </a:pPr>
          <a:r>
            <a:rPr lang="en-US" sz="800" b="0" i="0" u="none" strike="noStrike" baseline="0">
              <a:solidFill>
                <a:srgbClr val="000000"/>
              </a:solidFill>
              <a:latin typeface="Courier New"/>
              <a:cs typeface="Courier New"/>
            </a:rPr>
            <a:t>   Pseudo R-squared:                                  0.909</a:t>
          </a:r>
        </a:p>
        <a:p>
          <a:pPr algn="l" rtl="0">
            <a:defRPr sz="1000"/>
          </a:pPr>
          <a:r>
            <a:rPr lang="en-US" sz="800" b="0" i="0" u="none" strike="noStrike" baseline="0">
              <a:solidFill>
                <a:srgbClr val="000000"/>
              </a:solidFill>
              <a:latin typeface="Courier New"/>
              <a:cs typeface="Courier New"/>
            </a:rPr>
            <a:t>   Prob:                                              0.000</a:t>
          </a: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nr Effect                                 Coeff        s.e.</a:t>
          </a: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   count_plus1</a:t>
          </a:r>
        </a:p>
        <a:p>
          <a:pPr algn="l" rtl="0">
            <a:defRPr sz="1000"/>
          </a:pPr>
          <a:r>
            <a:rPr lang="en-US" sz="800" b="0" i="0" u="none" strike="noStrike" baseline="0">
              <a:solidFill>
                <a:srgbClr val="000000"/>
              </a:solidFill>
              <a:latin typeface="Courier New"/>
              <a:cs typeface="Courier New"/>
            </a:rPr>
            <a:t>     defendant</a:t>
          </a:r>
        </a:p>
        <a:p>
          <a:pPr algn="l" rtl="0">
            <a:defRPr sz="1000"/>
          </a:pPr>
          <a:r>
            <a:rPr lang="en-US" sz="800" b="0" i="0" u="none" strike="noStrike" baseline="0">
              <a:solidFill>
                <a:srgbClr val="000000"/>
              </a:solidFill>
              <a:latin typeface="Courier New"/>
              <a:cs typeface="Courier New"/>
            </a:rPr>
            <a:t>1      white                             -2.282**     0.332</a:t>
          </a:r>
        </a:p>
        <a:p>
          <a:pPr algn="l" rtl="0">
            <a:defRPr sz="1000"/>
          </a:pPr>
          <a:r>
            <a:rPr lang="en-US" sz="800" b="0" i="0" u="none" strike="noStrike" baseline="0">
              <a:solidFill>
                <a:srgbClr val="000000"/>
              </a:solidFill>
              <a:latin typeface="Courier New"/>
              <a:cs typeface="Courier New"/>
            </a:rPr>
            <a:t>     victim</a:t>
          </a:r>
        </a:p>
        <a:p>
          <a:pPr algn="l" rtl="0">
            <a:defRPr sz="1000"/>
          </a:pPr>
          <a:r>
            <a:rPr lang="en-US" sz="800" b="0" i="0" u="none" strike="noStrike" baseline="0">
              <a:solidFill>
                <a:srgbClr val="000000"/>
              </a:solidFill>
              <a:latin typeface="Courier New"/>
              <a:cs typeface="Courier New"/>
            </a:rPr>
            <a:t>2      white                             -0.615**     0.171</a:t>
          </a:r>
        </a:p>
        <a:p>
          <a:pPr algn="l" rtl="0">
            <a:defRPr sz="1000"/>
          </a:pPr>
          <a:r>
            <a:rPr lang="en-US" sz="800" b="0" i="0" u="none" strike="noStrike" baseline="0">
              <a:solidFill>
                <a:srgbClr val="000000"/>
              </a:solidFill>
              <a:latin typeface="Courier New"/>
              <a:cs typeface="Courier New"/>
            </a:rPr>
            <a:t>     defendant.victim</a:t>
          </a:r>
        </a:p>
        <a:p>
          <a:pPr algn="l" rtl="0">
            <a:defRPr sz="1000"/>
          </a:pPr>
          <a:r>
            <a:rPr lang="en-US" sz="800" b="0" i="0" u="none" strike="noStrike" baseline="0">
              <a:solidFill>
                <a:srgbClr val="000000"/>
              </a:solidFill>
              <a:latin typeface="Courier New"/>
              <a:cs typeface="Courier New"/>
            </a:rPr>
            <a:t>3      white.white                        3.202**     0.370</a:t>
          </a:r>
        </a:p>
        <a:p>
          <a:pPr algn="l" rtl="0">
            <a:defRPr sz="1000"/>
          </a:pPr>
          <a:r>
            <a:rPr lang="en-US" sz="800" b="0" i="0" u="none" strike="noStrike" baseline="0">
              <a:solidFill>
                <a:srgbClr val="000000"/>
              </a:solidFill>
              <a:latin typeface="Courier New"/>
              <a:cs typeface="Courier New"/>
            </a:rPr>
            <a:t>     deathpenalty</a:t>
          </a:r>
        </a:p>
        <a:p>
          <a:pPr algn="l" rtl="0">
            <a:defRPr sz="1000"/>
          </a:pPr>
          <a:r>
            <a:rPr lang="en-US" sz="800" b="0" i="0" u="none" strike="noStrike" baseline="0">
              <a:solidFill>
                <a:srgbClr val="000000"/>
              </a:solidFill>
              <a:latin typeface="Courier New"/>
              <a:cs typeface="Courier New"/>
            </a:rPr>
            <a:t>4      1                                 -2.639**     0.391</a:t>
          </a:r>
        </a:p>
        <a:p>
          <a:pPr algn="l" rtl="0">
            <a:defRPr sz="1000"/>
          </a:pPr>
          <a:r>
            <a:rPr lang="en-US" sz="800" b="0" i="0" u="none" strike="noStrike" baseline="0">
              <a:solidFill>
                <a:srgbClr val="000000"/>
              </a:solidFill>
              <a:latin typeface="Courier New"/>
              <a:cs typeface="Courier New"/>
            </a:rPr>
            <a:t>     defendant.deathpenalty</a:t>
          </a:r>
        </a:p>
        <a:p>
          <a:pPr algn="l" rtl="0">
            <a:defRPr sz="1000"/>
          </a:pPr>
          <a:r>
            <a:rPr lang="en-US" sz="800" b="0" i="0" u="none" strike="noStrike" baseline="0">
              <a:solidFill>
                <a:srgbClr val="000000"/>
              </a:solidFill>
              <a:latin typeface="Courier New"/>
              <a:cs typeface="Courier New"/>
            </a:rPr>
            <a:t>5      white.1                            0.336       1.119</a:t>
          </a:r>
        </a:p>
        <a:p>
          <a:pPr algn="l" rtl="0">
            <a:defRPr sz="1000"/>
          </a:pPr>
          <a:r>
            <a:rPr lang="en-US" sz="800" b="0" i="0" u="none" strike="noStrike" baseline="0">
              <a:solidFill>
                <a:srgbClr val="000000"/>
              </a:solidFill>
              <a:latin typeface="Courier New"/>
              <a:cs typeface="Courier New"/>
            </a:rPr>
            <a:t>     victim.deathpenalty</a:t>
          </a:r>
        </a:p>
        <a:p>
          <a:pPr algn="l" rtl="0">
            <a:defRPr sz="1000"/>
          </a:pPr>
          <a:r>
            <a:rPr lang="en-US" sz="800" b="0" i="0" u="none" strike="noStrike" baseline="0">
              <a:solidFill>
                <a:srgbClr val="000000"/>
              </a:solidFill>
              <a:latin typeface="Courier New"/>
              <a:cs typeface="Courier New"/>
            </a:rPr>
            <a:t>6      white.1                            1.154*      0.505</a:t>
          </a:r>
        </a:p>
        <a:p>
          <a:pPr algn="l" rtl="0">
            <a:defRPr sz="1000"/>
          </a:pPr>
          <a:r>
            <a:rPr lang="en-US" sz="800" b="0" i="0" u="none" strike="noStrike" baseline="0">
              <a:solidFill>
                <a:srgbClr val="000000"/>
              </a:solidFill>
              <a:latin typeface="Courier New"/>
              <a:cs typeface="Courier New"/>
            </a:rPr>
            <a:t>     defendant.victim.deathpenalty</a:t>
          </a:r>
        </a:p>
        <a:p>
          <a:pPr algn="l" rtl="0">
            <a:defRPr sz="1000"/>
          </a:pPr>
          <a:r>
            <a:rPr lang="en-US" sz="800" b="0" i="0" u="none" strike="noStrike" baseline="0">
              <a:solidFill>
                <a:srgbClr val="000000"/>
              </a:solidFill>
              <a:latin typeface="Courier New"/>
              <a:cs typeface="Courier New"/>
            </a:rPr>
            <a:t>7      white.white.1                     -0.746       1.189</a:t>
          </a:r>
        </a:p>
        <a:p>
          <a:pPr algn="l" rtl="0">
            <a:defRPr sz="1000"/>
          </a:pPr>
          <a:r>
            <a:rPr lang="en-US" sz="800" b="0" i="0" u="none" strike="noStrike" baseline="0">
              <a:solidFill>
                <a:srgbClr val="000000"/>
              </a:solidFill>
              <a:latin typeface="Courier New"/>
              <a:cs typeface="Courier New"/>
            </a:rPr>
            <a:t>8    _cons                                4.585**     0.101</a:t>
          </a: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  p &lt; .05</a:t>
          </a:r>
        </a:p>
        <a:p>
          <a:pPr algn="l" rtl="0">
            <a:defRPr sz="1000"/>
          </a:pPr>
          <a:r>
            <a:rPr lang="en-US" sz="800" b="0" i="0" u="none" strike="noStrike" baseline="0">
              <a:solidFill>
                <a:srgbClr val="000000"/>
              </a:solidFill>
              <a:latin typeface="Courier New"/>
              <a:cs typeface="Courier New"/>
            </a:rPr>
            <a:t>** p &lt; .01</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desmat: logistic deathpenalty  defendant*victim [fweight= </a:t>
          </a:r>
        </a:p>
        <a:p>
          <a:pPr algn="l" rtl="0">
            <a:defRPr sz="1000"/>
          </a:pPr>
          <a:r>
            <a:rPr lang="en-US" sz="800" b="0" i="0" u="none" strike="noStrike" baseline="0">
              <a:solidFill>
                <a:srgbClr val="000000"/>
              </a:solidFill>
              <a:latin typeface="Courier New"/>
              <a:cs typeface="Courier New"/>
            </a:rPr>
            <a:t>&gt; count_plus1], coef</a:t>
          </a: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   logistic</a:t>
          </a: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   Dependent variable                          deathpenalty</a:t>
          </a:r>
        </a:p>
        <a:p>
          <a:pPr algn="l" rtl="0">
            <a:defRPr sz="1000"/>
          </a:pPr>
          <a:r>
            <a:rPr lang="en-US" sz="800" b="0" i="0" u="none" strike="noStrike" baseline="0">
              <a:solidFill>
                <a:srgbClr val="000000"/>
              </a:solidFill>
              <a:latin typeface="Courier New"/>
              <a:cs typeface="Courier New"/>
            </a:rPr>
            <a:t>   Number of observations:                              334</a:t>
          </a:r>
        </a:p>
        <a:p>
          <a:pPr algn="l" rtl="0">
            <a:defRPr sz="1000"/>
          </a:pPr>
          <a:r>
            <a:rPr lang="en-US" sz="800" b="0" i="0" u="none" strike="noStrike" baseline="0">
              <a:solidFill>
                <a:srgbClr val="000000"/>
              </a:solidFill>
              <a:latin typeface="Courier New"/>
              <a:cs typeface="Courier New"/>
            </a:rPr>
            <a:t>   fweight:                                     count_plus1</a:t>
          </a:r>
        </a:p>
        <a:p>
          <a:pPr algn="l" rtl="0">
            <a:defRPr sz="1000"/>
          </a:pPr>
          <a:r>
            <a:rPr lang="en-US" sz="800" b="0" i="0" u="none" strike="noStrike" baseline="0">
              <a:solidFill>
                <a:srgbClr val="000000"/>
              </a:solidFill>
              <a:latin typeface="Courier New"/>
              <a:cs typeface="Courier New"/>
            </a:rPr>
            <a:t>   Initial log likelihood:                         -122.393</a:t>
          </a:r>
        </a:p>
        <a:p>
          <a:pPr algn="l" rtl="0">
            <a:defRPr sz="1000"/>
          </a:pPr>
          <a:r>
            <a:rPr lang="en-US" sz="800" b="0" i="0" u="none" strike="noStrike" baseline="0">
              <a:solidFill>
                <a:srgbClr val="000000"/>
              </a:solidFill>
              <a:latin typeface="Courier New"/>
              <a:cs typeface="Courier New"/>
            </a:rPr>
            <a:t>   Log likelihood:                                 -119.485</a:t>
          </a:r>
        </a:p>
        <a:p>
          <a:pPr algn="l" rtl="0">
            <a:defRPr sz="1000"/>
          </a:pPr>
          <a:r>
            <a:rPr lang="en-US" sz="800" b="0" i="0" u="none" strike="noStrike" baseline="0">
              <a:solidFill>
                <a:srgbClr val="000000"/>
              </a:solidFill>
              <a:latin typeface="Courier New"/>
              <a:cs typeface="Courier New"/>
            </a:rPr>
            <a:t>   LR chi square:                                     5.816</a:t>
          </a:r>
        </a:p>
        <a:p>
          <a:pPr algn="l" rtl="0">
            <a:defRPr sz="1000"/>
          </a:pPr>
          <a:r>
            <a:rPr lang="en-US" sz="800" b="0" i="0" u="none" strike="noStrike" baseline="0">
              <a:solidFill>
                <a:srgbClr val="000000"/>
              </a:solidFill>
              <a:latin typeface="Courier New"/>
              <a:cs typeface="Courier New"/>
            </a:rPr>
            <a:t>   Model degrees of freedom:                              3</a:t>
          </a:r>
        </a:p>
        <a:p>
          <a:pPr algn="l" rtl="0">
            <a:defRPr sz="1000"/>
          </a:pPr>
          <a:r>
            <a:rPr lang="en-US" sz="800" b="0" i="0" u="none" strike="noStrike" baseline="0">
              <a:solidFill>
                <a:srgbClr val="000000"/>
              </a:solidFill>
              <a:latin typeface="Courier New"/>
              <a:cs typeface="Courier New"/>
            </a:rPr>
            <a:t>   Pseudo R-squared:                                  0.024</a:t>
          </a:r>
        </a:p>
        <a:p>
          <a:pPr algn="l" rtl="0">
            <a:defRPr sz="1000"/>
          </a:pPr>
          <a:r>
            <a:rPr lang="en-US" sz="800" b="0" i="0" u="none" strike="noStrike" baseline="0">
              <a:solidFill>
                <a:srgbClr val="000000"/>
              </a:solidFill>
              <a:latin typeface="Courier New"/>
              <a:cs typeface="Courier New"/>
            </a:rPr>
            <a:t>   Prob:                                              0.121</a:t>
          </a: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nr Effect                                 Coeff        s.e.</a:t>
          </a: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   defendant</a:t>
          </a:r>
        </a:p>
        <a:p>
          <a:pPr algn="l" rtl="0">
            <a:defRPr sz="1000"/>
          </a:pPr>
          <a:r>
            <a:rPr lang="en-US" sz="800" b="0" i="0" u="none" strike="noStrike" baseline="0">
              <a:solidFill>
                <a:srgbClr val="000000"/>
              </a:solidFill>
              <a:latin typeface="Courier New"/>
              <a:cs typeface="Courier New"/>
            </a:rPr>
            <a:t>1    white                                0.336       1.119</a:t>
          </a:r>
        </a:p>
        <a:p>
          <a:pPr algn="l" rtl="0">
            <a:defRPr sz="1000"/>
          </a:pPr>
          <a:r>
            <a:rPr lang="en-US" sz="800" b="0" i="0" u="none" strike="noStrike" baseline="0">
              <a:solidFill>
                <a:srgbClr val="000000"/>
              </a:solidFill>
              <a:latin typeface="Courier New"/>
              <a:cs typeface="Courier New"/>
            </a:rPr>
            <a:t>   victim</a:t>
          </a:r>
        </a:p>
        <a:p>
          <a:pPr algn="l" rtl="0">
            <a:defRPr sz="1000"/>
          </a:pPr>
          <a:r>
            <a:rPr lang="en-US" sz="800" b="0" i="0" u="none" strike="noStrike" baseline="0">
              <a:solidFill>
                <a:srgbClr val="000000"/>
              </a:solidFill>
              <a:latin typeface="Courier New"/>
              <a:cs typeface="Courier New"/>
            </a:rPr>
            <a:t>2    white                                1.154*      0.505</a:t>
          </a:r>
        </a:p>
        <a:p>
          <a:pPr algn="l" rtl="0">
            <a:defRPr sz="1000"/>
          </a:pPr>
          <a:r>
            <a:rPr lang="en-US" sz="800" b="0" i="0" u="none" strike="noStrike" baseline="0">
              <a:solidFill>
                <a:srgbClr val="000000"/>
              </a:solidFill>
              <a:latin typeface="Courier New"/>
              <a:cs typeface="Courier New"/>
            </a:rPr>
            <a:t>   defendant.victim</a:t>
          </a:r>
        </a:p>
        <a:p>
          <a:pPr algn="l" rtl="0">
            <a:defRPr sz="1000"/>
          </a:pPr>
          <a:r>
            <a:rPr lang="en-US" sz="800" b="0" i="0" u="none" strike="noStrike" baseline="0">
              <a:solidFill>
                <a:srgbClr val="000000"/>
              </a:solidFill>
              <a:latin typeface="Courier New"/>
              <a:cs typeface="Courier New"/>
            </a:rPr>
            <a:t>3    white.white                         -0.746       1.189</a:t>
          </a:r>
        </a:p>
        <a:p>
          <a:pPr algn="l" rtl="0">
            <a:defRPr sz="1000"/>
          </a:pPr>
          <a:r>
            <a:rPr lang="en-US" sz="800" b="0" i="0" u="none" strike="noStrike" baseline="0">
              <a:solidFill>
                <a:srgbClr val="000000"/>
              </a:solidFill>
              <a:latin typeface="Courier New"/>
              <a:cs typeface="Courier New"/>
            </a:rPr>
            <a:t>4  _cons                                 -2.639**     0.391</a:t>
          </a: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  p &lt; .05</a:t>
          </a:r>
        </a:p>
        <a:p>
          <a:pPr algn="l" rtl="0">
            <a:defRPr sz="1000"/>
          </a:pPr>
          <a:r>
            <a:rPr lang="en-US" sz="800" b="0" i="0" u="none" strike="noStrike" baseline="0">
              <a:solidFill>
                <a:srgbClr val="000000"/>
              </a:solidFill>
              <a:latin typeface="Courier New"/>
              <a:cs typeface="Courier New"/>
            </a:rPr>
            <a:t>** p &lt; .01</a:t>
          </a:r>
          <a:endParaRPr lang="en-US" sz="900" b="0" i="0" u="none" strike="noStrike" baseline="0">
            <a:solidFill>
              <a:srgbClr val="000000"/>
            </a:solidFill>
            <a:latin typeface="Geneva"/>
            <a:cs typeface="Courier New"/>
          </a:endParaRPr>
        </a:p>
        <a:p>
          <a:pPr algn="l" rtl="0">
            <a:defRPr sz="1000"/>
          </a:pPr>
          <a:endParaRPr lang="en-US" sz="900" b="0" i="0" u="none" strike="noStrike" baseline="0">
            <a:solidFill>
              <a:srgbClr val="000000"/>
            </a:solidFill>
            <a:latin typeface="Geneva"/>
          </a:endParaRP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1</xdr:col>
      <xdr:colOff>95250</xdr:colOff>
      <xdr:row>4</xdr:row>
      <xdr:rowOff>85725</xdr:rowOff>
    </xdr:from>
    <xdr:to>
      <xdr:col>9</xdr:col>
      <xdr:colOff>581025</xdr:colOff>
      <xdr:row>9</xdr:row>
      <xdr:rowOff>0</xdr:rowOff>
    </xdr:to>
    <xdr:sp macro="" textlink="">
      <xdr:nvSpPr>
        <xdr:cNvPr id="7169" name="Text Box 1"/>
        <xdr:cNvSpPr txBox="1">
          <a:spLocks noChangeArrowheads="1"/>
        </xdr:cNvSpPr>
      </xdr:nvSpPr>
      <xdr:spPr bwMode="auto">
        <a:xfrm>
          <a:off x="704850" y="695325"/>
          <a:ext cx="5362575" cy="67627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Geneva"/>
            </a:rPr>
            <a:t>From a Student's data analysis.  Two equivalent sets of coefficients from saturated interactions between education and SES.  The first set of interactions uses Elementary education as the comparison category, the second set uses Middle school as the comparison category.  The two models have identical summary statistics.  How to interpret the coefficients?</a:t>
          </a:r>
        </a:p>
      </xdr:txBody>
    </xdr:sp>
    <xdr:clientData/>
  </xdr:twoCellAnchor>
  <xdr:twoCellAnchor>
    <xdr:from>
      <xdr:col>2</xdr:col>
      <xdr:colOff>9525</xdr:colOff>
      <xdr:row>24</xdr:row>
      <xdr:rowOff>9525</xdr:rowOff>
    </xdr:from>
    <xdr:to>
      <xdr:col>11</xdr:col>
      <xdr:colOff>428625</xdr:colOff>
      <xdr:row>39</xdr:row>
      <xdr:rowOff>38100</xdr:rowOff>
    </xdr:to>
    <xdr:sp macro="" textlink="">
      <xdr:nvSpPr>
        <xdr:cNvPr id="7170" name="Text Box 2"/>
        <xdr:cNvSpPr txBox="1">
          <a:spLocks noChangeArrowheads="1"/>
        </xdr:cNvSpPr>
      </xdr:nvSpPr>
      <xdr:spPr bwMode="auto">
        <a:xfrm>
          <a:off x="1228725" y="3667125"/>
          <a:ext cx="5905500" cy="231457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Geneva"/>
            </a:rPr>
            <a:t>In Set A, the comparison categories are SES=1, and Education=Elementary.  In Set B, the comparison categories are SES=1 and Education=Middle.  Note that coefficients for Elementary in Set B are the inverse of the coefficients for Middle School in Set A.  In interpreting the coefficients you have to take both comparison categories into account.  </a:t>
          </a:r>
        </a:p>
        <a:p>
          <a:pPr algn="l" rtl="0">
            <a:defRPr sz="1000"/>
          </a:pPr>
          <a:endParaRPr lang="en-US" sz="900" b="0" i="0" u="none" strike="noStrike" baseline="0">
            <a:solidFill>
              <a:srgbClr val="000000"/>
            </a:solidFill>
            <a:latin typeface="Geneva"/>
          </a:endParaRPr>
        </a:p>
        <a:p>
          <a:pPr algn="l" rtl="0">
            <a:defRPr sz="1000"/>
          </a:pPr>
          <a:r>
            <a:rPr lang="en-US" sz="900" b="0" i="0" u="none" strike="noStrike" baseline="0">
              <a:solidFill>
                <a:srgbClr val="000000"/>
              </a:solidFill>
              <a:latin typeface="Geneva"/>
            </a:rPr>
            <a:t>Interpretations:</a:t>
          </a:r>
        </a:p>
        <a:p>
          <a:pPr algn="l" rtl="0">
            <a:defRPr sz="1000"/>
          </a:pPr>
          <a:endParaRPr lang="en-US" sz="900" b="0" i="0" u="none" strike="noStrike" baseline="0">
            <a:solidFill>
              <a:srgbClr val="000000"/>
            </a:solidFill>
            <a:latin typeface="Geneva"/>
          </a:endParaRPr>
        </a:p>
        <a:p>
          <a:pPr algn="l" rtl="0">
            <a:defRPr sz="1000"/>
          </a:pPr>
          <a:r>
            <a:rPr lang="en-US" sz="900" b="0" i="0" u="none" strike="noStrike" baseline="0">
              <a:solidFill>
                <a:srgbClr val="000000"/>
              </a:solidFill>
              <a:latin typeface="Geneva"/>
            </a:rPr>
            <a:t>Term H.2, in Set A=-0.285.  We can say that the number of cases with high school degrees and with SES in the second quartile is exp(-0.285)=0.75 times as high compared to cases with elementary educations or with SES in the first quartile.</a:t>
          </a:r>
        </a:p>
        <a:p>
          <a:pPr algn="l" rtl="0">
            <a:defRPr sz="1000"/>
          </a:pPr>
          <a:endParaRPr lang="en-US" sz="900" b="0" i="0" u="none" strike="noStrike" baseline="0">
            <a:solidFill>
              <a:srgbClr val="000000"/>
            </a:solidFill>
            <a:latin typeface="Geneva"/>
          </a:endParaRPr>
        </a:p>
        <a:p>
          <a:pPr algn="l" rtl="0">
            <a:defRPr sz="1000"/>
          </a:pPr>
          <a:r>
            <a:rPr lang="en-US" sz="900" b="0" i="0" u="none" strike="noStrike" baseline="0">
              <a:solidFill>
                <a:srgbClr val="000000"/>
              </a:solidFill>
              <a:latin typeface="Geneva"/>
            </a:rPr>
            <a:t>We can also say that, in set A the coefficent H.2=-0.285 means that the odds of being in the second SES quartile compared to the first SES quartile are exp(-.285)=0.75 times as high for high schoolers as for elementary schoolers.</a:t>
          </a:r>
        </a:p>
      </xdr:txBody>
    </xdr:sp>
    <xdr:clientData/>
  </xdr:twoCellAnchor>
  <xdr:twoCellAnchor>
    <xdr:from>
      <xdr:col>0</xdr:col>
      <xdr:colOff>409575</xdr:colOff>
      <xdr:row>53</xdr:row>
      <xdr:rowOff>38100</xdr:rowOff>
    </xdr:from>
    <xdr:to>
      <xdr:col>12</xdr:col>
      <xdr:colOff>438150</xdr:colOff>
      <xdr:row>130</xdr:row>
      <xdr:rowOff>95250</xdr:rowOff>
    </xdr:to>
    <xdr:sp macro="" textlink="">
      <xdr:nvSpPr>
        <xdr:cNvPr id="7171" name="Text Box 3"/>
        <xdr:cNvSpPr txBox="1">
          <a:spLocks noChangeArrowheads="1"/>
        </xdr:cNvSpPr>
      </xdr:nvSpPr>
      <xdr:spPr bwMode="auto">
        <a:xfrm>
          <a:off x="409575" y="8115300"/>
          <a:ext cx="7343775" cy="1179195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en-US" sz="900" b="0" i="0" u="none" strike="noStrike" baseline="0">
              <a:solidFill>
                <a:srgbClr val="000000"/>
              </a:solidFill>
              <a:latin typeface="Courier"/>
            </a:rPr>
            <a:t>Another example, with a dataset I can actually show you (and which should be familiar).  It's the 4x4 educational intermarriage dataset.  Here's the saturated model, with default residual categories hed==1 and wed==1.  </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 desmat: poisson count hed*wed</a:t>
          </a:r>
        </a:p>
        <a:p>
          <a:pPr algn="l" rtl="0">
            <a:defRPr sz="1000"/>
          </a:pPr>
          <a:r>
            <a:rPr lang="en-US" sz="900" b="0" i="0" u="none" strike="noStrike" baseline="0">
              <a:solidFill>
                <a:srgbClr val="000000"/>
              </a:solidFill>
              <a:latin typeface="Courier"/>
            </a:rPr>
            <a:t>---------------------------------------------------------------------------------------------</a:t>
          </a:r>
        </a:p>
        <a:p>
          <a:pPr algn="l" rtl="0">
            <a:defRPr sz="1000"/>
          </a:pPr>
          <a:r>
            <a:rPr lang="en-US" sz="900" b="0" i="0" u="none" strike="noStrike" baseline="0">
              <a:solidFill>
                <a:srgbClr val="000000"/>
              </a:solidFill>
              <a:latin typeface="Courier"/>
            </a:rPr>
            <a:t>   Poisson regression</a:t>
          </a:r>
        </a:p>
        <a:p>
          <a:pPr algn="l" rtl="0">
            <a:defRPr sz="1000"/>
          </a:pPr>
          <a:r>
            <a:rPr lang="en-US" sz="900" b="0" i="0" u="none" strike="noStrike" baseline="0">
              <a:solidFill>
                <a:srgbClr val="000000"/>
              </a:solidFill>
              <a:latin typeface="Courier"/>
            </a:rPr>
            <a:t>---------------------------------------------------------------------------------------------</a:t>
          </a:r>
        </a:p>
        <a:p>
          <a:pPr algn="l" rtl="0">
            <a:defRPr sz="1000"/>
          </a:pPr>
          <a:r>
            <a:rPr lang="en-US" sz="900" b="0" i="0" u="none" strike="noStrike" baseline="0">
              <a:solidFill>
                <a:srgbClr val="000000"/>
              </a:solidFill>
              <a:latin typeface="Courier"/>
            </a:rPr>
            <a:t>   Dependent variable                                                                  count</a:t>
          </a:r>
        </a:p>
        <a:p>
          <a:pPr algn="l" rtl="0">
            <a:defRPr sz="1000"/>
          </a:pPr>
          <a:r>
            <a:rPr lang="en-US" sz="900" b="0" i="0" u="none" strike="noStrike" baseline="0">
              <a:solidFill>
                <a:srgbClr val="000000"/>
              </a:solidFill>
              <a:latin typeface="Courier"/>
            </a:rPr>
            <a:t>   Optimization:                                                                          ml</a:t>
          </a:r>
        </a:p>
        <a:p>
          <a:pPr algn="l" rtl="0">
            <a:defRPr sz="1000"/>
          </a:pPr>
          <a:r>
            <a:rPr lang="en-US" sz="900" b="0" i="0" u="none" strike="noStrike" baseline="0">
              <a:solidFill>
                <a:srgbClr val="000000"/>
              </a:solidFill>
              <a:latin typeface="Courier"/>
            </a:rPr>
            <a:t>   Number of observations:                                                                16</a:t>
          </a:r>
        </a:p>
        <a:p>
          <a:pPr algn="l" rtl="0">
            <a:defRPr sz="1000"/>
          </a:pPr>
          <a:r>
            <a:rPr lang="en-US" sz="900" b="0" i="0" u="none" strike="noStrike" baseline="0">
              <a:solidFill>
                <a:srgbClr val="000000"/>
              </a:solidFill>
              <a:latin typeface="Courier"/>
            </a:rPr>
            <a:t>   Initial log likelihood:                                                       -221501.223</a:t>
          </a:r>
        </a:p>
        <a:p>
          <a:pPr algn="l" rtl="0">
            <a:defRPr sz="1000"/>
          </a:pPr>
          <a:r>
            <a:rPr lang="en-US" sz="900" b="0" i="0" u="none" strike="noStrike" baseline="0">
              <a:solidFill>
                <a:srgbClr val="000000"/>
              </a:solidFill>
              <a:latin typeface="Courier"/>
            </a:rPr>
            <a:t>   Log likelihood:                                                                   -92.984</a:t>
          </a:r>
        </a:p>
        <a:p>
          <a:pPr algn="l" rtl="0">
            <a:defRPr sz="1000"/>
          </a:pPr>
          <a:r>
            <a:rPr lang="en-US" sz="900" b="0" i="0" u="none" strike="noStrike" baseline="0">
              <a:solidFill>
                <a:srgbClr val="000000"/>
              </a:solidFill>
              <a:latin typeface="Courier"/>
            </a:rPr>
            <a:t>   LR chi square:                                                                 442816.478</a:t>
          </a:r>
        </a:p>
        <a:p>
          <a:pPr algn="l" rtl="0">
            <a:defRPr sz="1000"/>
          </a:pPr>
          <a:r>
            <a:rPr lang="en-US" sz="900" b="0" i="0" u="none" strike="noStrike" baseline="0">
              <a:solidFill>
                <a:srgbClr val="000000"/>
              </a:solidFill>
              <a:latin typeface="Courier"/>
            </a:rPr>
            <a:t>   Model degrees of freedom:                                                              15</a:t>
          </a:r>
        </a:p>
        <a:p>
          <a:pPr algn="l" rtl="0">
            <a:defRPr sz="1000"/>
          </a:pPr>
          <a:r>
            <a:rPr lang="en-US" sz="900" b="0" i="0" u="none" strike="noStrike" baseline="0">
              <a:solidFill>
                <a:srgbClr val="000000"/>
              </a:solidFill>
              <a:latin typeface="Courier"/>
            </a:rPr>
            <a:t>   Pseudo R-squared:                                                                   1.000</a:t>
          </a:r>
        </a:p>
        <a:p>
          <a:pPr algn="l" rtl="0">
            <a:defRPr sz="1000"/>
          </a:pPr>
          <a:r>
            <a:rPr lang="en-US" sz="900" b="0" i="0" u="none" strike="noStrike" baseline="0">
              <a:solidFill>
                <a:srgbClr val="000000"/>
              </a:solidFill>
              <a:latin typeface="Courier"/>
            </a:rPr>
            <a:t>   Prob:                                                                               0.000</a:t>
          </a:r>
        </a:p>
        <a:p>
          <a:pPr algn="l" rtl="0">
            <a:defRPr sz="1000"/>
          </a:pPr>
          <a:r>
            <a:rPr lang="en-US" sz="900" b="0" i="0" u="none" strike="noStrike" baseline="0">
              <a:solidFill>
                <a:srgbClr val="000000"/>
              </a:solidFill>
              <a:latin typeface="Courier"/>
            </a:rPr>
            <a:t>---------------------------------------------------------------------------------------------</a:t>
          </a:r>
        </a:p>
        <a:p>
          <a:pPr algn="l" rtl="0">
            <a:defRPr sz="1000"/>
          </a:pPr>
          <a:r>
            <a:rPr lang="en-US" sz="900" b="0" i="0" u="none" strike="noStrike" baseline="0">
              <a:solidFill>
                <a:srgbClr val="000000"/>
              </a:solidFill>
              <a:latin typeface="Courier"/>
            </a:rPr>
            <a:t>nr Effect                                                                  Coeff        s.e.</a:t>
          </a:r>
        </a:p>
        <a:p>
          <a:pPr algn="l" rtl="0">
            <a:defRPr sz="1000"/>
          </a:pPr>
          <a:r>
            <a:rPr lang="en-US" sz="900" b="0" i="0" u="none" strike="noStrike" baseline="0">
              <a:solidFill>
                <a:srgbClr val="000000"/>
              </a:solidFill>
              <a:latin typeface="Courier"/>
            </a:rPr>
            <a:t>---------------------------------------------------------------------------------------------</a:t>
          </a:r>
        </a:p>
        <a:p>
          <a:pPr algn="l" rtl="0">
            <a:defRPr sz="1000"/>
          </a:pPr>
          <a:r>
            <a:rPr lang="en-US" sz="900" b="0" i="0" u="none" strike="noStrike" baseline="0">
              <a:solidFill>
                <a:srgbClr val="000000"/>
              </a:solidFill>
              <a:latin typeface="Courier"/>
            </a:rPr>
            <a:t>   count</a:t>
          </a:r>
        </a:p>
        <a:p>
          <a:pPr algn="l" rtl="0">
            <a:defRPr sz="1000"/>
          </a:pPr>
          <a:r>
            <a:rPr lang="en-US" sz="900" b="0" i="0" u="none" strike="noStrike" baseline="0">
              <a:solidFill>
                <a:srgbClr val="000000"/>
              </a:solidFill>
              <a:latin typeface="Courier"/>
            </a:rPr>
            <a:t>     hed</a:t>
          </a:r>
        </a:p>
        <a:p>
          <a:pPr algn="l" rtl="0">
            <a:defRPr sz="1000"/>
          </a:pPr>
          <a:r>
            <a:rPr lang="en-US" sz="900" b="0" i="0" u="none" strike="noStrike" baseline="0">
              <a:solidFill>
                <a:srgbClr val="000000"/>
              </a:solidFill>
              <a:latin typeface="Courier"/>
            </a:rPr>
            <a:t>1      2                                                                  -0.121**     0.008</a:t>
          </a:r>
        </a:p>
        <a:p>
          <a:pPr algn="l" rtl="0">
            <a:defRPr sz="1000"/>
          </a:pPr>
          <a:r>
            <a:rPr lang="en-US" sz="900" b="0" i="0" u="none" strike="noStrike" baseline="0">
              <a:solidFill>
                <a:srgbClr val="000000"/>
              </a:solidFill>
              <a:latin typeface="Courier"/>
            </a:rPr>
            <a:t>2      3                                                                  -1.513**     0.013</a:t>
          </a:r>
        </a:p>
        <a:p>
          <a:pPr algn="l" rtl="0">
            <a:defRPr sz="1000"/>
          </a:pPr>
          <a:r>
            <a:rPr lang="en-US" sz="900" b="0" i="0" u="none" strike="noStrike" baseline="0">
              <a:solidFill>
                <a:srgbClr val="000000"/>
              </a:solidFill>
              <a:latin typeface="Courier"/>
            </a:rPr>
            <a:t>3      4                                                                  -3.482**     0.032</a:t>
          </a:r>
        </a:p>
        <a:p>
          <a:pPr algn="l" rtl="0">
            <a:defRPr sz="1000"/>
          </a:pPr>
          <a:r>
            <a:rPr lang="en-US" sz="900" b="0" i="0" u="none" strike="noStrike" baseline="0">
              <a:solidFill>
                <a:srgbClr val="000000"/>
              </a:solidFill>
              <a:latin typeface="Courier"/>
            </a:rPr>
            <a:t>     wed</a:t>
          </a:r>
        </a:p>
        <a:p>
          <a:pPr algn="l" rtl="0">
            <a:defRPr sz="1000"/>
          </a:pPr>
          <a:r>
            <a:rPr lang="en-US" sz="900" b="0" i="0" u="none" strike="noStrike" baseline="0">
              <a:solidFill>
                <a:srgbClr val="000000"/>
              </a:solidFill>
              <a:latin typeface="Courier"/>
            </a:rPr>
            <a:t>4      2                                                                   0.042**     0.008</a:t>
          </a:r>
        </a:p>
        <a:p>
          <a:pPr algn="l" rtl="0">
            <a:defRPr sz="1000"/>
          </a:pPr>
          <a:r>
            <a:rPr lang="en-US" sz="900" b="0" i="0" u="none" strike="noStrike" baseline="0">
              <a:solidFill>
                <a:srgbClr val="000000"/>
              </a:solidFill>
              <a:latin typeface="Courier"/>
            </a:rPr>
            <a:t>5      3                                                                  -1.337**     0.012</a:t>
          </a:r>
        </a:p>
        <a:p>
          <a:pPr algn="l" rtl="0">
            <a:defRPr sz="1000"/>
          </a:pPr>
          <a:r>
            <a:rPr lang="en-US" sz="900" b="0" i="0" u="none" strike="noStrike" baseline="0">
              <a:solidFill>
                <a:srgbClr val="000000"/>
              </a:solidFill>
              <a:latin typeface="Courier"/>
            </a:rPr>
            <a:t>6      4                                                                  -3.478**     0.032</a:t>
          </a:r>
        </a:p>
        <a:p>
          <a:pPr algn="l" rtl="0">
            <a:defRPr sz="1000"/>
          </a:pPr>
          <a:r>
            <a:rPr lang="en-US" sz="900" b="0" i="0" u="none" strike="noStrike" baseline="0">
              <a:solidFill>
                <a:srgbClr val="000000"/>
              </a:solidFill>
              <a:latin typeface="Courier"/>
            </a:rPr>
            <a:t>     hed.wed</a:t>
          </a:r>
        </a:p>
        <a:p>
          <a:pPr algn="l" rtl="0">
            <a:defRPr sz="1000"/>
          </a:pPr>
          <a:r>
            <a:rPr lang="en-US" sz="900" b="0" i="0" u="none" strike="noStrike" baseline="0">
              <a:solidFill>
                <a:srgbClr val="000000"/>
              </a:solidFill>
              <a:latin typeface="Courier"/>
            </a:rPr>
            <a:t>7      2.2                                                                 1.539**     0.010</a:t>
          </a:r>
        </a:p>
        <a:p>
          <a:pPr algn="l" rtl="0">
            <a:defRPr sz="1000"/>
          </a:pPr>
          <a:r>
            <a:rPr lang="en-US" sz="900" b="0" i="0" u="none" strike="noStrike" baseline="0">
              <a:solidFill>
                <a:srgbClr val="000000"/>
              </a:solidFill>
              <a:latin typeface="Courier"/>
            </a:rPr>
            <a:t>8      2.3                                                                 1.771**     0.014</a:t>
          </a:r>
        </a:p>
        <a:p>
          <a:pPr algn="l" rtl="0">
            <a:defRPr sz="1000"/>
          </a:pPr>
          <a:r>
            <a:rPr lang="en-US" sz="900" b="0" i="0" u="none" strike="noStrike" baseline="0">
              <a:solidFill>
                <a:srgbClr val="000000"/>
              </a:solidFill>
              <a:latin typeface="Courier"/>
            </a:rPr>
            <a:t>9      2.4                                                                 2.267**     0.035</a:t>
          </a:r>
        </a:p>
        <a:p>
          <a:pPr algn="l" rtl="0">
            <a:defRPr sz="1000"/>
          </a:pPr>
          <a:r>
            <a:rPr lang="en-US" sz="900" b="0" i="0" u="none" strike="noStrike" baseline="0">
              <a:solidFill>
                <a:srgbClr val="000000"/>
              </a:solidFill>
              <a:latin typeface="Courier"/>
            </a:rPr>
            <a:t>10     3.2                                                                 1.892**     0.015</a:t>
          </a:r>
        </a:p>
        <a:p>
          <a:pPr algn="l" rtl="0">
            <a:defRPr sz="1000"/>
          </a:pPr>
          <a:r>
            <a:rPr lang="en-US" sz="900" b="0" i="0" u="none" strike="noStrike" baseline="0">
              <a:solidFill>
                <a:srgbClr val="000000"/>
              </a:solidFill>
              <a:latin typeface="Courier"/>
            </a:rPr>
            <a:t>11     3.3                                                                 3.505**     0.018</a:t>
          </a:r>
        </a:p>
        <a:p>
          <a:pPr algn="l" rtl="0">
            <a:defRPr sz="1000"/>
          </a:pPr>
          <a:r>
            <a:rPr lang="en-US" sz="900" b="0" i="0" u="none" strike="noStrike" baseline="0">
              <a:solidFill>
                <a:srgbClr val="000000"/>
              </a:solidFill>
              <a:latin typeface="Courier"/>
            </a:rPr>
            <a:t>12     3.4                                                                 4.426**     0.035</a:t>
          </a:r>
        </a:p>
        <a:p>
          <a:pPr algn="l" rtl="0">
            <a:defRPr sz="1000"/>
          </a:pPr>
          <a:r>
            <a:rPr lang="en-US" sz="900" b="0" i="0" u="none" strike="noStrike" baseline="0">
              <a:solidFill>
                <a:srgbClr val="000000"/>
              </a:solidFill>
              <a:latin typeface="Courier"/>
            </a:rPr>
            <a:t>13     4.2                                                                 2.599**     0.034</a:t>
          </a:r>
        </a:p>
        <a:p>
          <a:pPr algn="l" rtl="0">
            <a:defRPr sz="1000"/>
          </a:pPr>
          <a:r>
            <a:rPr lang="en-US" sz="900" b="0" i="0" u="none" strike="noStrike" baseline="0">
              <a:solidFill>
                <a:srgbClr val="000000"/>
              </a:solidFill>
              <a:latin typeface="Courier"/>
            </a:rPr>
            <a:t>14     4.3                                                                 4.708**     0.035</a:t>
          </a:r>
        </a:p>
        <a:p>
          <a:pPr algn="l" rtl="0">
            <a:defRPr sz="1000"/>
          </a:pPr>
          <a:r>
            <a:rPr lang="en-US" sz="900" b="0" i="0" u="none" strike="noStrike" baseline="0">
              <a:solidFill>
                <a:srgbClr val="000000"/>
              </a:solidFill>
              <a:latin typeface="Courier"/>
            </a:rPr>
            <a:t>15     4.4                                                                 7.431**     0.046</a:t>
          </a:r>
        </a:p>
        <a:p>
          <a:pPr algn="l" rtl="0">
            <a:defRPr sz="1000"/>
          </a:pPr>
          <a:r>
            <a:rPr lang="en-US" sz="900" b="0" i="0" u="none" strike="noStrike" baseline="0">
              <a:solidFill>
                <a:srgbClr val="000000"/>
              </a:solidFill>
              <a:latin typeface="Courier"/>
            </a:rPr>
            <a:t>16   _cons                                                                10.374**     0.006</a:t>
          </a:r>
        </a:p>
        <a:p>
          <a:pPr algn="l" rtl="0">
            <a:defRPr sz="1000"/>
          </a:pPr>
          <a:r>
            <a:rPr lang="en-US" sz="900" b="0" i="0" u="none" strike="noStrike" baseline="0">
              <a:solidFill>
                <a:srgbClr val="000000"/>
              </a:solidFill>
              <a:latin typeface="Courier"/>
            </a:rPr>
            <a:t>---------------------------------------------------------------------------------------------</a:t>
          </a:r>
        </a:p>
        <a:p>
          <a:pPr algn="l" rtl="0">
            <a:defRPr sz="1000"/>
          </a:pPr>
          <a:r>
            <a:rPr lang="en-US" sz="900" b="0" i="0" u="none" strike="noStrike" baseline="0">
              <a:solidFill>
                <a:srgbClr val="000000"/>
              </a:solidFill>
              <a:latin typeface="Courier"/>
            </a:rPr>
            <a:t>*  p &lt; .05</a:t>
          </a:r>
        </a:p>
        <a:p>
          <a:pPr algn="l" rtl="0">
            <a:defRPr sz="1000"/>
          </a:pPr>
          <a:r>
            <a:rPr lang="en-US" sz="900" b="0" i="0" u="none" strike="noStrike" baseline="0">
              <a:solidFill>
                <a:srgbClr val="000000"/>
              </a:solidFill>
              <a:latin typeface="Courier"/>
            </a:rPr>
            <a:t>** p &lt; .01</a:t>
          </a:r>
          <a:endParaRPr lang="en-US" sz="900" b="0" i="0" u="none" strike="noStrike" baseline="0">
            <a:solidFill>
              <a:srgbClr val="000000"/>
            </a:solidFill>
            <a:latin typeface="Geneva"/>
          </a:endParaRPr>
        </a:p>
        <a:p>
          <a:pPr algn="l" rtl="0">
            <a:defRPr sz="1000"/>
          </a:pPr>
          <a:endParaRPr lang="en-US" sz="900" b="0" i="0" u="none" strike="noStrike" baseline="0">
            <a:solidFill>
              <a:srgbClr val="000000"/>
            </a:solidFill>
            <a:latin typeface="Geneva"/>
          </a:endParaRPr>
        </a:p>
        <a:p>
          <a:pPr algn="l" rtl="0">
            <a:defRPr sz="1000"/>
          </a:pPr>
          <a:r>
            <a:rPr lang="en-US" sz="900" b="0" i="0" u="none" strike="noStrike" baseline="0">
              <a:solidFill>
                <a:srgbClr val="000000"/>
              </a:solidFill>
              <a:latin typeface="Geneva"/>
            </a:rPr>
            <a:t>Take one of the interactions from this set, say hed.wed=4.2.  Keep in mind that 1 is the comparison category for both hed and wed.</a:t>
          </a:r>
        </a:p>
        <a:p>
          <a:pPr algn="l" rtl="0">
            <a:defRPr sz="1000"/>
          </a:pPr>
          <a:endParaRPr lang="en-US" sz="900" b="0" i="0" u="none" strike="noStrike" baseline="0">
            <a:solidFill>
              <a:srgbClr val="000000"/>
            </a:solidFill>
            <a:latin typeface="Geneva"/>
          </a:endParaRPr>
        </a:p>
        <a:p>
          <a:pPr algn="l" rtl="0">
            <a:defRPr sz="1000"/>
          </a:pPr>
          <a:r>
            <a:rPr lang="en-US" sz="900" b="0" i="0" u="none" strike="noStrike" baseline="0">
              <a:solidFill>
                <a:srgbClr val="000000"/>
              </a:solidFill>
              <a:latin typeface="Geneva"/>
            </a:rPr>
            <a:t>.</a:t>
          </a:r>
          <a:r>
            <a:rPr lang="en-US" sz="900" b="0" i="0" u="none" strike="noStrike" baseline="0">
              <a:solidFill>
                <a:srgbClr val="000000"/>
              </a:solidFill>
              <a:latin typeface="Courier"/>
            </a:rPr>
            <a:t> tabulate hed wed if (hed==1|hed==4) &amp;(wed==1 |wed==2) [fweight=count]</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           |          wed</a:t>
          </a:r>
        </a:p>
        <a:p>
          <a:pPr algn="l" rtl="0">
            <a:defRPr sz="1000"/>
          </a:pPr>
          <a:r>
            <a:rPr lang="en-US" sz="900" b="0" i="0" u="none" strike="noStrike" baseline="0">
              <a:solidFill>
                <a:srgbClr val="000000"/>
              </a:solidFill>
              <a:latin typeface="Courier"/>
            </a:rPr>
            <a:t>       hed |         1          2 |     Total</a:t>
          </a:r>
        </a:p>
        <a:p>
          <a:pPr algn="l" rtl="0">
            <a:defRPr sz="1000"/>
          </a:pPr>
          <a:r>
            <a:rPr lang="en-US" sz="900" b="0" i="0" u="none" strike="noStrike" baseline="0">
              <a:solidFill>
                <a:srgbClr val="000000"/>
              </a:solidFill>
              <a:latin typeface="Courier"/>
            </a:rPr>
            <a:t>-----------+----------------------+----------</a:t>
          </a:r>
        </a:p>
        <a:p>
          <a:pPr algn="l" rtl="0">
            <a:defRPr sz="1000"/>
          </a:pPr>
          <a:r>
            <a:rPr lang="en-US" sz="900" b="0" i="0" u="none" strike="noStrike" baseline="0">
              <a:solidFill>
                <a:srgbClr val="000000"/>
              </a:solidFill>
              <a:latin typeface="Courier"/>
            </a:rPr>
            <a:t>         1 |    32,016     33,374 |    65,390 </a:t>
          </a:r>
        </a:p>
        <a:p>
          <a:pPr algn="l" rtl="0">
            <a:defRPr sz="1000"/>
          </a:pPr>
          <a:r>
            <a:rPr lang="en-US" sz="900" b="0" i="0" u="none" strike="noStrike" baseline="0">
              <a:solidFill>
                <a:srgbClr val="000000"/>
              </a:solidFill>
              <a:latin typeface="Courier"/>
            </a:rPr>
            <a:t>         4 |       984     13,794 |    14,778 </a:t>
          </a:r>
        </a:p>
        <a:p>
          <a:pPr algn="l" rtl="0">
            <a:defRPr sz="1000"/>
          </a:pPr>
          <a:r>
            <a:rPr lang="en-US" sz="900" b="0" i="0" u="none" strike="noStrike" baseline="0">
              <a:solidFill>
                <a:srgbClr val="000000"/>
              </a:solidFill>
              <a:latin typeface="Courier"/>
            </a:rPr>
            <a:t>-----------+----------------------+----------</a:t>
          </a:r>
        </a:p>
        <a:p>
          <a:pPr algn="l" rtl="0">
            <a:defRPr sz="1000"/>
          </a:pPr>
          <a:r>
            <a:rPr lang="en-US" sz="900" b="0" i="0" u="none" strike="noStrike" baseline="0">
              <a:solidFill>
                <a:srgbClr val="000000"/>
              </a:solidFill>
              <a:latin typeface="Courier"/>
            </a:rPr>
            <a:t>     Total |    33,000     47,168 |    80,168 </a:t>
          </a:r>
        </a:p>
        <a:p>
          <a:pPr algn="l" rtl="0">
            <a:defRPr sz="1000"/>
          </a:pPr>
          <a:endParaRPr lang="en-US" sz="900" b="0" i="0" u="none" strike="noStrike" baseline="0">
            <a:solidFill>
              <a:srgbClr val="000000"/>
            </a:solidFill>
            <a:latin typeface="Courier"/>
          </a:endParaRP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 *</a:t>
          </a:r>
        </a:p>
        <a:p>
          <a:pPr algn="l" rtl="0">
            <a:defRPr sz="1000"/>
          </a:pPr>
          <a:r>
            <a:rPr lang="en-US" sz="900" b="0" i="0" u="none" strike="noStrike" baseline="0">
              <a:solidFill>
                <a:srgbClr val="000000"/>
              </a:solidFill>
              <a:latin typeface="Courier"/>
            </a:rPr>
            <a:t>. *We're going to see if the 4.2 interaction corresponds to the odds ratio of this 2x2 table </a:t>
          </a:r>
        </a:p>
        <a:p>
          <a:pPr algn="l" rtl="0">
            <a:defRPr sz="1000"/>
          </a:pPr>
          <a:r>
            <a:rPr lang="en-US" sz="900" b="0" i="0" u="none" strike="noStrike" baseline="0">
              <a:solidFill>
                <a:srgbClr val="000000"/>
              </a:solidFill>
              <a:latin typeface="Courier"/>
            </a:rPr>
            <a:t>&gt; from the actual data.</a:t>
          </a:r>
        </a:p>
        <a:p>
          <a:pPr algn="l" rtl="0">
            <a:defRPr sz="1000"/>
          </a:pPr>
          <a:r>
            <a:rPr lang="en-US" sz="900" b="0" i="0" u="none" strike="noStrike" baseline="0">
              <a:solidFill>
                <a:srgbClr val="000000"/>
              </a:solidFill>
              <a:latin typeface="Courier"/>
            </a:rPr>
            <a:t>. display ln((13794*32016)/(33374*984))</a:t>
          </a:r>
        </a:p>
        <a:p>
          <a:pPr algn="l" rtl="0">
            <a:defRPr sz="1000"/>
          </a:pPr>
          <a:r>
            <a:rPr lang="en-US" sz="900" b="0" i="0" u="none" strike="noStrike" baseline="0">
              <a:solidFill>
                <a:srgbClr val="000000"/>
              </a:solidFill>
              <a:latin typeface="Courier"/>
            </a:rPr>
            <a:t>2.5988217</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 *value is the same.  How about the std error?</a:t>
          </a:r>
        </a:p>
        <a:p>
          <a:pPr algn="l" rtl="0">
            <a:defRPr sz="1000"/>
          </a:pPr>
          <a:r>
            <a:rPr lang="en-US" sz="900" b="0" i="0" u="none" strike="noStrike" baseline="0">
              <a:solidFill>
                <a:srgbClr val="000000"/>
              </a:solidFill>
              <a:latin typeface="Courier"/>
            </a:rPr>
            <a:t>. display ((1/32016)+(1/33374)+(1/984)+(1/13794))^.5</a:t>
          </a:r>
        </a:p>
        <a:p>
          <a:pPr algn="l" rtl="0">
            <a:defRPr sz="1000"/>
          </a:pPr>
          <a:r>
            <a:rPr lang="en-US" sz="900" b="0" i="0" u="none" strike="noStrike" baseline="0">
              <a:solidFill>
                <a:srgbClr val="000000"/>
              </a:solidFill>
              <a:latin typeface="Courier"/>
            </a:rPr>
            <a:t>.03391096</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Yes.  This only works because we have the saturated interactions here.  </a:t>
          </a:r>
        </a:p>
        <a:p>
          <a:pPr algn="l" rtl="0">
            <a:defRPr sz="1000"/>
          </a:pPr>
          <a:endParaRPr lang="en-US" sz="900" b="0" i="0" u="none" strike="noStrike" baseline="0">
            <a:solidFill>
              <a:srgbClr val="000000"/>
            </a:solidFill>
            <a:latin typeface="Courier"/>
          </a:endParaRPr>
        </a:p>
        <a:p>
          <a:pPr algn="l" rtl="0">
            <a:defRPr sz="1000"/>
          </a:pPr>
          <a:r>
            <a:rPr lang="en-US" sz="900" b="0" i="0" u="none" strike="noStrike" baseline="0">
              <a:solidFill>
                <a:srgbClr val="000000"/>
              </a:solidFill>
              <a:latin typeface="Courier"/>
            </a:rPr>
            <a:t>We could say that the odds of marrying a man with a college degree compared to a man with less than a high school education are exp(2.599)=13.45 times higher for women with high school degree compared to women with less than a high school degree.  Odds ratios imply a 2x2 table of some sort.  If you can't think of what the 2x2 table might be, or if there actually isn't one for the coefficient in question (and there may not be), stick to the log count/ incidence rate ratio explanation (see previous worksheet in this excel file).</a:t>
          </a: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9</xdr:col>
      <xdr:colOff>352425</xdr:colOff>
      <xdr:row>25</xdr:row>
      <xdr:rowOff>123825</xdr:rowOff>
    </xdr:from>
    <xdr:to>
      <xdr:col>14</xdr:col>
      <xdr:colOff>266700</xdr:colOff>
      <xdr:row>31</xdr:row>
      <xdr:rowOff>57150</xdr:rowOff>
    </xdr:to>
    <xdr:sp macro="" textlink="">
      <xdr:nvSpPr>
        <xdr:cNvPr id="8193" name="Text Box 1"/>
        <xdr:cNvSpPr txBox="1">
          <a:spLocks noChangeArrowheads="1"/>
        </xdr:cNvSpPr>
      </xdr:nvSpPr>
      <xdr:spPr bwMode="auto">
        <a:xfrm>
          <a:off x="6210300" y="3933825"/>
          <a:ext cx="2962275" cy="8477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Geneva"/>
            </a:rPr>
            <a:t>Fisher's exact test is telling us that in case 2, with 19 observations, this distribution is actually as close to the independence model as is physically possible.  That's why Fisher's P=1.</a:t>
          </a:r>
        </a:p>
      </xdr:txBody>
    </xdr:sp>
    <xdr:clientData/>
  </xdr:twoCellAnchor>
  <xdr:twoCellAnchor>
    <xdr:from>
      <xdr:col>9</xdr:col>
      <xdr:colOff>152400</xdr:colOff>
      <xdr:row>52</xdr:row>
      <xdr:rowOff>66675</xdr:rowOff>
    </xdr:from>
    <xdr:to>
      <xdr:col>13</xdr:col>
      <xdr:colOff>200025</xdr:colOff>
      <xdr:row>57</xdr:row>
      <xdr:rowOff>104775</xdr:rowOff>
    </xdr:to>
    <xdr:sp macro="" textlink="">
      <xdr:nvSpPr>
        <xdr:cNvPr id="8194" name="Text Box 2"/>
        <xdr:cNvSpPr txBox="1">
          <a:spLocks noChangeArrowheads="1"/>
        </xdr:cNvSpPr>
      </xdr:nvSpPr>
      <xdr:spPr bwMode="auto">
        <a:xfrm>
          <a:off x="6010275" y="7991475"/>
          <a:ext cx="2486025" cy="8001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Geneva"/>
            </a:rPr>
            <a:t>In case 5, with large counts in all 4 cells, the 95% Confidence interval for the odds ratio based on the asymptotic standard error is exactly the same (to 6 figures) as the exact confidence interval.</a:t>
          </a:r>
        </a:p>
      </xdr:txBody>
    </xdr:sp>
    <xdr:clientData/>
  </xdr:twoCellAnchor>
  <xdr:twoCellAnchor>
    <xdr:from>
      <xdr:col>7</xdr:col>
      <xdr:colOff>228600</xdr:colOff>
      <xdr:row>1</xdr:row>
      <xdr:rowOff>38100</xdr:rowOff>
    </xdr:from>
    <xdr:to>
      <xdr:col>12</xdr:col>
      <xdr:colOff>95250</xdr:colOff>
      <xdr:row>4</xdr:row>
      <xdr:rowOff>28575</xdr:rowOff>
    </xdr:to>
    <xdr:sp macro="" textlink="">
      <xdr:nvSpPr>
        <xdr:cNvPr id="8195" name="Text Box 3"/>
        <xdr:cNvSpPr txBox="1">
          <a:spLocks noChangeArrowheads="1"/>
        </xdr:cNvSpPr>
      </xdr:nvSpPr>
      <xdr:spPr bwMode="auto">
        <a:xfrm>
          <a:off x="4867275" y="190500"/>
          <a:ext cx="2914650" cy="44767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Geneva"/>
            </a:rPr>
            <a:t>Exact tests obtained using stata command </a:t>
          </a:r>
        </a:p>
        <a:p>
          <a:pPr algn="l" rtl="0">
            <a:defRPr sz="1000"/>
          </a:pPr>
          <a:r>
            <a:rPr lang="en-US" sz="900" b="1" i="0" u="none" strike="noStrike" baseline="0">
              <a:solidFill>
                <a:srgbClr val="000000"/>
              </a:solidFill>
              <a:latin typeface="Geneva"/>
            </a:rPr>
            <a:t>csi n1 n2 n3 n4, or exact</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15.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16.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E42"/>
  <sheetViews>
    <sheetView topLeftCell="A46" zoomScale="125" workbookViewId="0">
      <selection activeCell="C30" sqref="C30"/>
    </sheetView>
  </sheetViews>
  <sheetFormatPr defaultColWidth="11" defaultRowHeight="11.4"/>
  <sheetData>
    <row r="4" spans="1:5">
      <c r="A4" t="s">
        <v>2</v>
      </c>
    </row>
    <row r="6" spans="1:5">
      <c r="C6" t="s">
        <v>67</v>
      </c>
    </row>
    <row r="7" spans="1:5">
      <c r="C7" t="s">
        <v>68</v>
      </c>
      <c r="D7" t="s">
        <v>69</v>
      </c>
    </row>
    <row r="8" spans="1:5">
      <c r="E8" t="s">
        <v>1</v>
      </c>
    </row>
    <row r="9" spans="1:5">
      <c r="A9" t="s">
        <v>70</v>
      </c>
      <c r="B9" t="s">
        <v>71</v>
      </c>
      <c r="C9">
        <v>23</v>
      </c>
      <c r="D9">
        <v>10</v>
      </c>
      <c r="E9">
        <f>SUM(C9:D9)</f>
        <v>33</v>
      </c>
    </row>
    <row r="10" spans="1:5">
      <c r="B10" t="s">
        <v>0</v>
      </c>
      <c r="C10">
        <v>27</v>
      </c>
      <c r="D10">
        <v>15</v>
      </c>
      <c r="E10">
        <f>SUM(C10:D10)</f>
        <v>42</v>
      </c>
    </row>
    <row r="11" spans="1:5">
      <c r="A11" t="s">
        <v>1</v>
      </c>
      <c r="C11">
        <f>SUM(C9:C10)</f>
        <v>50</v>
      </c>
      <c r="D11">
        <f>SUM(D9:D10)</f>
        <v>25</v>
      </c>
      <c r="E11">
        <f>SUM(E9:E10)</f>
        <v>75</v>
      </c>
    </row>
    <row r="15" spans="1:5">
      <c r="A15" t="s">
        <v>3</v>
      </c>
    </row>
    <row r="16" spans="1:5">
      <c r="C16" t="s">
        <v>67</v>
      </c>
    </row>
    <row r="17" spans="1:5">
      <c r="C17" t="s">
        <v>68</v>
      </c>
      <c r="D17" t="s">
        <v>69</v>
      </c>
    </row>
    <row r="18" spans="1:5">
      <c r="E18" t="s">
        <v>1</v>
      </c>
    </row>
    <row r="19" spans="1:5">
      <c r="A19" t="s">
        <v>70</v>
      </c>
      <c r="B19" t="s">
        <v>71</v>
      </c>
      <c r="C19">
        <f>C9/$E$11</f>
        <v>0.30666666666666664</v>
      </c>
      <c r="D19">
        <f>D9/$E$11</f>
        <v>0.13333333333333333</v>
      </c>
      <c r="E19">
        <f>SUM(C19+D19)</f>
        <v>0.43999999999999995</v>
      </c>
    </row>
    <row r="20" spans="1:5">
      <c r="B20" t="s">
        <v>0</v>
      </c>
      <c r="C20">
        <f>C10/$E$11</f>
        <v>0.36</v>
      </c>
      <c r="D20">
        <f>D10/$E$11</f>
        <v>0.2</v>
      </c>
      <c r="E20">
        <f>SUM(C20+D20)</f>
        <v>0.56000000000000005</v>
      </c>
    </row>
    <row r="21" spans="1:5">
      <c r="A21" t="s">
        <v>1</v>
      </c>
      <c r="C21">
        <f>SUM(C19:C20)</f>
        <v>0.66666666666666663</v>
      </c>
      <c r="D21">
        <f>SUM(D19:D20)</f>
        <v>0.33333333333333337</v>
      </c>
      <c r="E21">
        <f>SUM(C19:D20)</f>
        <v>1</v>
      </c>
    </row>
    <row r="25" spans="1:5">
      <c r="A25" t="s">
        <v>5</v>
      </c>
    </row>
    <row r="26" spans="1:5">
      <c r="C26" t="s">
        <v>67</v>
      </c>
    </row>
    <row r="27" spans="1:5">
      <c r="C27" t="s">
        <v>68</v>
      </c>
      <c r="D27" t="s">
        <v>69</v>
      </c>
    </row>
    <row r="28" spans="1:5">
      <c r="E28" t="s">
        <v>1</v>
      </c>
    </row>
    <row r="29" spans="1:5">
      <c r="A29" t="s">
        <v>70</v>
      </c>
      <c r="B29" t="s">
        <v>71</v>
      </c>
      <c r="C29">
        <f>E29*C31</f>
        <v>0.29333333333333333</v>
      </c>
      <c r="D29">
        <f>D31*E29</f>
        <v>0.1466666666666667</v>
      </c>
      <c r="E29">
        <v>0.44</v>
      </c>
    </row>
    <row r="30" spans="1:5">
      <c r="B30" t="s">
        <v>0</v>
      </c>
      <c r="C30">
        <f>C31*E30</f>
        <v>0.37333333333333335</v>
      </c>
      <c r="D30">
        <f>E30*D31</f>
        <v>0.1866666666666667</v>
      </c>
      <c r="E30">
        <v>0.56000000000000005</v>
      </c>
    </row>
    <row r="31" spans="1:5">
      <c r="A31" t="s">
        <v>1</v>
      </c>
      <c r="C31">
        <v>0.66666666666666663</v>
      </c>
      <c r="D31">
        <v>0.33333333333333337</v>
      </c>
      <c r="E31">
        <f>SUM(C29:D30)</f>
        <v>1.0000000000000002</v>
      </c>
    </row>
    <row r="36" spans="1:5">
      <c r="A36" t="s">
        <v>4</v>
      </c>
    </row>
    <row r="37" spans="1:5">
      <c r="C37" t="s">
        <v>67</v>
      </c>
    </row>
    <row r="38" spans="1:5">
      <c r="C38" t="s">
        <v>68</v>
      </c>
      <c r="D38" t="s">
        <v>69</v>
      </c>
    </row>
    <row r="39" spans="1:5">
      <c r="E39" t="s">
        <v>1</v>
      </c>
    </row>
    <row r="40" spans="1:5">
      <c r="A40" t="s">
        <v>70</v>
      </c>
      <c r="B40" t="s">
        <v>71</v>
      </c>
      <c r="C40">
        <f>C29*$E$11</f>
        <v>22</v>
      </c>
      <c r="D40">
        <f>D29*$E$11</f>
        <v>11.000000000000002</v>
      </c>
      <c r="E40">
        <f>SUM(C40:D40)</f>
        <v>33</v>
      </c>
    </row>
    <row r="41" spans="1:5">
      <c r="B41" t="s">
        <v>0</v>
      </c>
      <c r="C41">
        <f>C30*$E$11</f>
        <v>28</v>
      </c>
      <c r="D41">
        <f>D30*$E$11</f>
        <v>14.000000000000004</v>
      </c>
      <c r="E41">
        <f>SUM(C41:D41)</f>
        <v>42</v>
      </c>
    </row>
    <row r="42" spans="1:5">
      <c r="A42" t="s">
        <v>1</v>
      </c>
      <c r="C42">
        <f>SUM(C40:C41)</f>
        <v>50</v>
      </c>
      <c r="D42">
        <f>SUM(D40:D41)</f>
        <v>25.000000000000007</v>
      </c>
      <c r="E42">
        <f>SUM(E40:E41)</f>
        <v>75</v>
      </c>
    </row>
  </sheetData>
  <phoneticPr fontId="4" type="noConversion"/>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151"/>
  <sheetViews>
    <sheetView topLeftCell="A18" zoomScale="120" zoomScaleNormal="120" workbookViewId="0">
      <pane ySplit="2760" topLeftCell="A71" activePane="bottomLeft"/>
      <selection activeCell="A45" sqref="A45"/>
      <selection pane="bottomLeft" activeCell="C79" sqref="C79"/>
    </sheetView>
  </sheetViews>
  <sheetFormatPr defaultColWidth="11" defaultRowHeight="11.4"/>
  <cols>
    <col min="1" max="1" width="13.375" customWidth="1"/>
  </cols>
  <sheetData>
    <row r="2" spans="1:3">
      <c r="B2" t="s">
        <v>6</v>
      </c>
      <c r="C2" t="s">
        <v>7</v>
      </c>
    </row>
    <row r="3" spans="1:3">
      <c r="B3">
        <v>0.1</v>
      </c>
      <c r="C3">
        <f>B3/(1-B3)</f>
        <v>0.11111111111111112</v>
      </c>
    </row>
    <row r="4" spans="1:3">
      <c r="B4">
        <v>0.2</v>
      </c>
      <c r="C4">
        <f t="shared" ref="C4:C13" si="0">B4/(1-B4)</f>
        <v>0.25</v>
      </c>
    </row>
    <row r="5" spans="1:3">
      <c r="B5">
        <v>0.3</v>
      </c>
      <c r="C5">
        <f t="shared" si="0"/>
        <v>0.4285714285714286</v>
      </c>
    </row>
    <row r="6" spans="1:3">
      <c r="B6">
        <v>0.4</v>
      </c>
      <c r="C6">
        <f t="shared" si="0"/>
        <v>0.66666666666666674</v>
      </c>
    </row>
    <row r="7" spans="1:3">
      <c r="B7">
        <v>0.5</v>
      </c>
      <c r="C7">
        <f t="shared" si="0"/>
        <v>1</v>
      </c>
    </row>
    <row r="8" spans="1:3">
      <c r="B8">
        <v>0.6</v>
      </c>
      <c r="C8">
        <f t="shared" si="0"/>
        <v>1.4999999999999998</v>
      </c>
    </row>
    <row r="9" spans="1:3">
      <c r="B9">
        <v>0.7</v>
      </c>
      <c r="C9">
        <f t="shared" si="0"/>
        <v>2.333333333333333</v>
      </c>
    </row>
    <row r="10" spans="1:3">
      <c r="B10">
        <v>0.8</v>
      </c>
      <c r="C10">
        <f t="shared" si="0"/>
        <v>4.0000000000000009</v>
      </c>
    </row>
    <row r="11" spans="1:3">
      <c r="B11">
        <v>0.9</v>
      </c>
      <c r="C11">
        <f t="shared" si="0"/>
        <v>9.0000000000000018</v>
      </c>
    </row>
    <row r="12" spans="1:3">
      <c r="B12">
        <v>0.99</v>
      </c>
      <c r="C12">
        <f t="shared" si="0"/>
        <v>98.999999999999915</v>
      </c>
    </row>
    <row r="13" spans="1:3">
      <c r="B13">
        <v>0.99990000000000001</v>
      </c>
      <c r="C13">
        <f t="shared" si="0"/>
        <v>9999.0000000011005</v>
      </c>
    </row>
    <row r="16" spans="1:3">
      <c r="A16" t="s">
        <v>2</v>
      </c>
    </row>
    <row r="18" spans="1:5">
      <c r="C18" t="s">
        <v>67</v>
      </c>
    </row>
    <row r="19" spans="1:5">
      <c r="C19" t="s">
        <v>68</v>
      </c>
      <c r="D19" t="s">
        <v>69</v>
      </c>
    </row>
    <row r="20" spans="1:5">
      <c r="E20" t="s">
        <v>1</v>
      </c>
    </row>
    <row r="21" spans="1:5">
      <c r="A21" t="s">
        <v>70</v>
      </c>
      <c r="B21" t="s">
        <v>71</v>
      </c>
      <c r="C21">
        <v>23</v>
      </c>
      <c r="D21">
        <v>10</v>
      </c>
      <c r="E21">
        <f>SUM(C21:D21)</f>
        <v>33</v>
      </c>
    </row>
    <row r="22" spans="1:5">
      <c r="B22" t="s">
        <v>0</v>
      </c>
      <c r="C22">
        <v>27</v>
      </c>
      <c r="D22">
        <v>15</v>
      </c>
      <c r="E22">
        <f>SUM(C22:D22)</f>
        <v>42</v>
      </c>
    </row>
    <row r="23" spans="1:5">
      <c r="A23" t="s">
        <v>1</v>
      </c>
      <c r="C23">
        <f>SUM(C21:C22)</f>
        <v>50</v>
      </c>
      <c r="D23">
        <f>SUM(D21:D22)</f>
        <v>25</v>
      </c>
      <c r="E23">
        <f>SUM(E21:E22)</f>
        <v>75</v>
      </c>
    </row>
    <row r="26" spans="1:5">
      <c r="A26" t="s">
        <v>8</v>
      </c>
    </row>
    <row r="28" spans="1:5">
      <c r="C28" t="s">
        <v>67</v>
      </c>
    </row>
    <row r="29" spans="1:5">
      <c r="C29" t="s">
        <v>68</v>
      </c>
      <c r="D29" t="s">
        <v>69</v>
      </c>
    </row>
    <row r="30" spans="1:5">
      <c r="E30" t="s">
        <v>1</v>
      </c>
    </row>
    <row r="31" spans="1:5">
      <c r="A31" t="s">
        <v>70</v>
      </c>
      <c r="B31" t="s">
        <v>71</v>
      </c>
      <c r="C31">
        <f>C21/C23</f>
        <v>0.46</v>
      </c>
    </row>
    <row r="32" spans="1:5">
      <c r="B32" t="s">
        <v>0</v>
      </c>
      <c r="C32">
        <f>C22/C23</f>
        <v>0.54</v>
      </c>
    </row>
    <row r="33" spans="1:3">
      <c r="A33" t="s">
        <v>1</v>
      </c>
    </row>
    <row r="36" spans="1:3">
      <c r="A36" t="s">
        <v>9</v>
      </c>
    </row>
    <row r="38" spans="1:3">
      <c r="C38">
        <f>C31/C32</f>
        <v>0.85185185185185186</v>
      </c>
    </row>
    <row r="41" spans="1:3">
      <c r="A41" t="s">
        <v>10</v>
      </c>
    </row>
    <row r="42" spans="1:3">
      <c r="C42" s="1">
        <f>D21/D22</f>
        <v>0.66666666666666663</v>
      </c>
    </row>
    <row r="46" spans="1:3">
      <c r="A46" t="s">
        <v>11</v>
      </c>
    </row>
    <row r="48" spans="1:3">
      <c r="C48">
        <f>C38/C42</f>
        <v>1.2777777777777779</v>
      </c>
    </row>
    <row r="52" spans="1:3">
      <c r="A52" t="s">
        <v>12</v>
      </c>
    </row>
    <row r="54" spans="1:3">
      <c r="C54">
        <f>C21*D22/(C22*D21)</f>
        <v>1.2777777777777777</v>
      </c>
    </row>
    <row r="57" spans="1:3">
      <c r="A57" t="s">
        <v>51</v>
      </c>
    </row>
    <row r="58" spans="1:3">
      <c r="A58" t="s">
        <v>17</v>
      </c>
    </row>
    <row r="60" spans="1:3">
      <c r="B60" t="s">
        <v>13</v>
      </c>
      <c r="C60">
        <f>(1/C21)+(1/D21)+(1/C22)+(1/D22)</f>
        <v>0.24718196457326891</v>
      </c>
    </row>
    <row r="63" spans="1:3">
      <c r="A63" t="s">
        <v>16</v>
      </c>
    </row>
    <row r="65" spans="1:5">
      <c r="B65" t="s">
        <v>14</v>
      </c>
      <c r="C65">
        <f>(C60)^0.5</f>
        <v>0.49717397817390735</v>
      </c>
    </row>
    <row r="68" spans="1:5">
      <c r="A68" t="s">
        <v>15</v>
      </c>
    </row>
    <row r="69" spans="1:5">
      <c r="C69" t="s">
        <v>40</v>
      </c>
    </row>
    <row r="70" spans="1:5">
      <c r="C70">
        <f>LN(C54)</f>
        <v>0.24512245803298491</v>
      </c>
    </row>
    <row r="71" spans="1:5">
      <c r="D71">
        <f>LN((C22*D21)/(C21*D22))</f>
        <v>-0.24512245803298496</v>
      </c>
      <c r="E71" t="s">
        <v>41</v>
      </c>
    </row>
    <row r="74" spans="1:5">
      <c r="A74" t="s">
        <v>18</v>
      </c>
    </row>
    <row r="76" spans="1:5">
      <c r="B76" t="s">
        <v>19</v>
      </c>
      <c r="C76">
        <f>C70/C65</f>
        <v>0.49303155191932246</v>
      </c>
    </row>
    <row r="77" spans="1:5">
      <c r="B77" t="s">
        <v>20</v>
      </c>
    </row>
    <row r="82" spans="1:5">
      <c r="A82" t="s">
        <v>21</v>
      </c>
    </row>
    <row r="83" spans="1:5">
      <c r="C83" t="s">
        <v>67</v>
      </c>
    </row>
    <row r="84" spans="1:5">
      <c r="C84" t="s">
        <v>68</v>
      </c>
      <c r="D84" t="s">
        <v>69</v>
      </c>
    </row>
    <row r="85" spans="1:5">
      <c r="E85" t="s">
        <v>1</v>
      </c>
    </row>
    <row r="86" spans="1:5">
      <c r="A86" t="s">
        <v>70</v>
      </c>
      <c r="B86" t="s">
        <v>71</v>
      </c>
      <c r="C86">
        <v>22</v>
      </c>
      <c r="D86">
        <v>11</v>
      </c>
      <c r="E86">
        <v>33</v>
      </c>
    </row>
    <row r="87" spans="1:5">
      <c r="B87" t="s">
        <v>0</v>
      </c>
      <c r="C87">
        <v>28</v>
      </c>
      <c r="D87">
        <v>14</v>
      </c>
      <c r="E87">
        <v>42</v>
      </c>
    </row>
    <row r="88" spans="1:5">
      <c r="A88" t="s">
        <v>1</v>
      </c>
      <c r="C88">
        <v>50</v>
      </c>
      <c r="D88">
        <v>25</v>
      </c>
      <c r="E88">
        <v>75</v>
      </c>
    </row>
    <row r="91" spans="1:5">
      <c r="A91" t="s">
        <v>22</v>
      </c>
      <c r="B91">
        <f>C86*D87/(D86*C87)</f>
        <v>1</v>
      </c>
    </row>
    <row r="92" spans="1:5">
      <c r="A92" t="s">
        <v>23</v>
      </c>
      <c r="B92">
        <f>LN(B91)</f>
        <v>0</v>
      </c>
    </row>
    <row r="93" spans="1:5">
      <c r="A93" t="s">
        <v>52</v>
      </c>
    </row>
    <row r="96" spans="1:5">
      <c r="A96" t="s">
        <v>24</v>
      </c>
    </row>
    <row r="98" spans="1:5">
      <c r="A98" t="s">
        <v>25</v>
      </c>
      <c r="B98" t="s">
        <v>26</v>
      </c>
      <c r="C98" t="s">
        <v>27</v>
      </c>
      <c r="D98" t="s">
        <v>273</v>
      </c>
      <c r="E98" t="s">
        <v>274</v>
      </c>
    </row>
    <row r="99" spans="1:5">
      <c r="A99" t="s">
        <v>68</v>
      </c>
      <c r="B99" t="s">
        <v>105</v>
      </c>
      <c r="C99">
        <v>23</v>
      </c>
      <c r="D99">
        <v>0</v>
      </c>
      <c r="E99">
        <v>0</v>
      </c>
    </row>
    <row r="100" spans="1:5">
      <c r="A100" t="s">
        <v>68</v>
      </c>
      <c r="B100" t="s">
        <v>0</v>
      </c>
      <c r="C100">
        <v>27</v>
      </c>
      <c r="D100">
        <v>0</v>
      </c>
      <c r="E100">
        <v>1</v>
      </c>
    </row>
    <row r="101" spans="1:5">
      <c r="A101" t="s">
        <v>69</v>
      </c>
      <c r="B101" t="s">
        <v>105</v>
      </c>
      <c r="C101">
        <v>10</v>
      </c>
      <c r="D101">
        <v>1</v>
      </c>
      <c r="E101">
        <v>0</v>
      </c>
    </row>
    <row r="102" spans="1:5">
      <c r="A102" t="s">
        <v>69</v>
      </c>
      <c r="B102" t="s">
        <v>0</v>
      </c>
      <c r="C102">
        <v>15</v>
      </c>
      <c r="D102">
        <v>1</v>
      </c>
      <c r="E102">
        <v>1</v>
      </c>
    </row>
    <row r="109" spans="1:5">
      <c r="A109" t="s">
        <v>2</v>
      </c>
    </row>
    <row r="111" spans="1:5">
      <c r="C111" t="s">
        <v>67</v>
      </c>
    </row>
    <row r="112" spans="1:5">
      <c r="C112" t="s">
        <v>68</v>
      </c>
      <c r="D112" t="s">
        <v>69</v>
      </c>
    </row>
    <row r="113" spans="1:5">
      <c r="E113" t="s">
        <v>1</v>
      </c>
    </row>
    <row r="114" spans="1:5">
      <c r="A114" t="s">
        <v>70</v>
      </c>
      <c r="B114" t="s">
        <v>71</v>
      </c>
      <c r="C114">
        <v>23</v>
      </c>
      <c r="D114">
        <v>10</v>
      </c>
      <c r="E114">
        <f>SUM(C114:D114)</f>
        <v>33</v>
      </c>
    </row>
    <row r="115" spans="1:5">
      <c r="B115" t="s">
        <v>0</v>
      </c>
      <c r="C115">
        <v>27</v>
      </c>
      <c r="D115">
        <v>15</v>
      </c>
      <c r="E115">
        <f>SUM(C115:D115)</f>
        <v>42</v>
      </c>
    </row>
    <row r="116" spans="1:5">
      <c r="A116" t="s">
        <v>1</v>
      </c>
      <c r="C116">
        <f>SUM(C114:C115)</f>
        <v>50</v>
      </c>
      <c r="D116">
        <f>SUM(D114:D115)</f>
        <v>25</v>
      </c>
      <c r="E116">
        <f>SUM(E114:E115)</f>
        <v>75</v>
      </c>
    </row>
    <row r="121" spans="1:5">
      <c r="A121" t="s">
        <v>28</v>
      </c>
    </row>
    <row r="123" spans="1:5">
      <c r="B123" t="s">
        <v>29</v>
      </c>
      <c r="C123" t="s">
        <v>23</v>
      </c>
      <c r="D123" t="s">
        <v>31</v>
      </c>
      <c r="E123" t="s">
        <v>32</v>
      </c>
    </row>
    <row r="124" spans="1:5">
      <c r="A124" t="s">
        <v>30</v>
      </c>
      <c r="B124">
        <f>C114*D115/(D114*C115)</f>
        <v>1.2777777777777777</v>
      </c>
      <c r="C124">
        <f>LN(B124)</f>
        <v>0.24512245803298491</v>
      </c>
      <c r="D124">
        <f>SQRT((1/C114)+(1/D114)+(1/C115)+(1/D115))</f>
        <v>0.49717397817390735</v>
      </c>
      <c r="E124" t="s">
        <v>36</v>
      </c>
    </row>
    <row r="125" spans="1:5">
      <c r="A125" t="s">
        <v>34</v>
      </c>
      <c r="B125">
        <f>C115*D114/(C114*D115)</f>
        <v>0.78260869565217395</v>
      </c>
      <c r="C125">
        <f>LN(B125)</f>
        <v>-0.24512245803298496</v>
      </c>
      <c r="D125">
        <v>0.49717397817390735</v>
      </c>
      <c r="E125" t="s">
        <v>35</v>
      </c>
    </row>
    <row r="129" spans="1:5">
      <c r="A129" t="s">
        <v>227</v>
      </c>
    </row>
    <row r="131" spans="1:5">
      <c r="C131" t="s">
        <v>67</v>
      </c>
    </row>
    <row r="132" spans="1:5">
      <c r="C132" t="s">
        <v>68</v>
      </c>
      <c r="D132" t="s">
        <v>69</v>
      </c>
    </row>
    <row r="133" spans="1:5">
      <c r="E133" t="s">
        <v>1</v>
      </c>
    </row>
    <row r="134" spans="1:5">
      <c r="B134" t="s">
        <v>71</v>
      </c>
      <c r="C134">
        <v>23</v>
      </c>
      <c r="D134">
        <v>10</v>
      </c>
      <c r="E134">
        <f>SUM(C134:D134)</f>
        <v>33</v>
      </c>
    </row>
    <row r="135" spans="1:5">
      <c r="B135" t="s">
        <v>0</v>
      </c>
      <c r="C135">
        <v>27</v>
      </c>
      <c r="D135">
        <v>15</v>
      </c>
      <c r="E135">
        <f>SUM(C135:D135)</f>
        <v>42</v>
      </c>
    </row>
    <row r="136" spans="1:5">
      <c r="C136">
        <f>SUM(C134:C135)</f>
        <v>50</v>
      </c>
      <c r="D136">
        <f>SUM(D134:D135)</f>
        <v>25</v>
      </c>
      <c r="E136">
        <f>SUM(E134:E135)</f>
        <v>75</v>
      </c>
    </row>
    <row r="138" spans="1:5">
      <c r="B138" t="s">
        <v>22</v>
      </c>
      <c r="C138">
        <f>C134*D135/(D134*C135)</f>
        <v>1.2777777777777777</v>
      </c>
    </row>
    <row r="141" spans="1:5">
      <c r="A141" t="s">
        <v>228</v>
      </c>
    </row>
    <row r="144" spans="1:5">
      <c r="C144" t="s">
        <v>67</v>
      </c>
    </row>
    <row r="145" spans="2:5">
      <c r="C145" t="s">
        <v>68</v>
      </c>
      <c r="D145" t="s">
        <v>69</v>
      </c>
    </row>
    <row r="146" spans="2:5">
      <c r="E146" t="s">
        <v>1</v>
      </c>
    </row>
    <row r="147" spans="2:5">
      <c r="B147" t="s">
        <v>71</v>
      </c>
      <c r="C147">
        <f>C134*2</f>
        <v>46</v>
      </c>
      <c r="D147">
        <v>10</v>
      </c>
      <c r="E147">
        <f>SUM(C147:D147)</f>
        <v>56</v>
      </c>
    </row>
    <row r="148" spans="2:5">
      <c r="B148" t="s">
        <v>0</v>
      </c>
      <c r="C148">
        <f>C135*2</f>
        <v>54</v>
      </c>
      <c r="D148">
        <v>15</v>
      </c>
      <c r="E148">
        <f>SUM(C148:D148)</f>
        <v>69</v>
      </c>
    </row>
    <row r="149" spans="2:5">
      <c r="C149">
        <f>SUM(C147:C148)</f>
        <v>100</v>
      </c>
      <c r="D149">
        <f>SUM(D147:D148)</f>
        <v>25</v>
      </c>
      <c r="E149">
        <f>SUM(E147:E148)</f>
        <v>125</v>
      </c>
    </row>
    <row r="151" spans="2:5">
      <c r="B151" t="s">
        <v>22</v>
      </c>
      <c r="C151">
        <f>C147*D148/(D147*C148)</f>
        <v>1.2777777777777777</v>
      </c>
    </row>
  </sheetData>
  <phoneticPr fontId="4" type="noConversion"/>
  <pageMargins left="0.75" right="0.75" top="1" bottom="1" header="0.5" footer="0.5"/>
  <pageSetup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J52"/>
  <sheetViews>
    <sheetView topLeftCell="E100" zoomScale="130" zoomScaleNormal="130" workbookViewId="0">
      <selection activeCell="M37" sqref="M37"/>
    </sheetView>
  </sheetViews>
  <sheetFormatPr defaultColWidth="11" defaultRowHeight="11.4"/>
  <cols>
    <col min="1" max="2" width="11" customWidth="1"/>
    <col min="3" max="3" width="18.25" customWidth="1"/>
    <col min="4" max="5" width="13.375" customWidth="1"/>
    <col min="6" max="8" width="11" customWidth="1"/>
    <col min="9" max="9" width="15.625" customWidth="1"/>
  </cols>
  <sheetData>
    <row r="4" spans="2:5">
      <c r="B4" s="59" t="s">
        <v>2</v>
      </c>
      <c r="C4" s="59"/>
    </row>
    <row r="6" spans="2:5">
      <c r="D6" t="s">
        <v>67</v>
      </c>
    </row>
    <row r="7" spans="2:5">
      <c r="D7" t="s">
        <v>68</v>
      </c>
      <c r="E7" t="s">
        <v>69</v>
      </c>
    </row>
    <row r="9" spans="2:5">
      <c r="B9" t="s">
        <v>70</v>
      </c>
      <c r="C9" t="s">
        <v>71</v>
      </c>
      <c r="D9">
        <v>23</v>
      </c>
      <c r="E9">
        <v>10</v>
      </c>
    </row>
    <row r="10" spans="2:5">
      <c r="C10" t="s">
        <v>0</v>
      </c>
      <c r="D10">
        <v>27</v>
      </c>
      <c r="E10">
        <v>15</v>
      </c>
    </row>
    <row r="13" spans="2:5">
      <c r="B13" t="s">
        <v>4</v>
      </c>
    </row>
    <row r="14" spans="2:5">
      <c r="D14" t="s">
        <v>67</v>
      </c>
    </row>
    <row r="15" spans="2:5">
      <c r="D15" t="s">
        <v>68</v>
      </c>
      <c r="E15" t="s">
        <v>69</v>
      </c>
    </row>
    <row r="17" spans="2:5">
      <c r="B17" t="s">
        <v>70</v>
      </c>
      <c r="C17" t="s">
        <v>71</v>
      </c>
      <c r="D17">
        <v>22</v>
      </c>
      <c r="E17">
        <v>11</v>
      </c>
    </row>
    <row r="18" spans="2:5">
      <c r="C18" t="s">
        <v>0</v>
      </c>
      <c r="D18">
        <v>28</v>
      </c>
      <c r="E18">
        <v>14</v>
      </c>
    </row>
    <row r="21" spans="2:5">
      <c r="B21" t="s">
        <v>39</v>
      </c>
    </row>
    <row r="23" spans="2:5">
      <c r="B23" t="s">
        <v>106</v>
      </c>
      <c r="D23" t="s">
        <v>107</v>
      </c>
    </row>
    <row r="24" spans="2:5">
      <c r="B24">
        <f>SUM(D24:E25)*2</f>
        <v>0.24451084155315828</v>
      </c>
      <c r="D24">
        <f>D9*LN(D9/D17)</f>
        <v>1.0223905391291772</v>
      </c>
      <c r="E24">
        <f>E9*LN(E9/E17)</f>
        <v>-0.9531017980432489</v>
      </c>
    </row>
    <row r="25" spans="2:5">
      <c r="D25">
        <f>D10*LN(D10/D18)</f>
        <v>-0.98192639261362047</v>
      </c>
      <c r="E25">
        <f>E10*LN(E10/E18)</f>
        <v>1.0348930723042713</v>
      </c>
    </row>
    <row r="26" spans="2:5">
      <c r="B26" t="s">
        <v>42</v>
      </c>
    </row>
    <row r="29" spans="2:5">
      <c r="B29" t="s">
        <v>110</v>
      </c>
    </row>
    <row r="30" spans="2:5">
      <c r="B30" t="s">
        <v>108</v>
      </c>
      <c r="D30" t="s">
        <v>109</v>
      </c>
    </row>
    <row r="31" spans="2:5">
      <c r="B31">
        <f>SUM(D31:E32)</f>
        <v>0.24350649350649348</v>
      </c>
      <c r="D31">
        <f>((D9-D17)^2)/D17</f>
        <v>4.5454545454545456E-2</v>
      </c>
      <c r="E31">
        <f>((E9-E17)^2)/E17</f>
        <v>9.0909090909090912E-2</v>
      </c>
    </row>
    <row r="32" spans="2:5">
      <c r="D32">
        <f>((D10-D18)^2)/D18</f>
        <v>3.5714285714285712E-2</v>
      </c>
      <c r="E32">
        <f>((E10-E18)^2)/E18</f>
        <v>7.1428571428571425E-2</v>
      </c>
    </row>
    <row r="37" spans="2:10">
      <c r="B37" t="s">
        <v>190</v>
      </c>
    </row>
    <row r="39" spans="2:10">
      <c r="D39" s="31" t="s">
        <v>196</v>
      </c>
      <c r="E39" t="s">
        <v>192</v>
      </c>
      <c r="G39" s="41"/>
      <c r="H39" s="41" t="s">
        <v>47</v>
      </c>
      <c r="I39" s="32" t="s">
        <v>199</v>
      </c>
      <c r="J39" s="32" t="s">
        <v>197</v>
      </c>
    </row>
    <row r="40" spans="2:10">
      <c r="D40" s="31" t="s">
        <v>45</v>
      </c>
      <c r="E40" t="s">
        <v>193</v>
      </c>
      <c r="F40" t="s">
        <v>194</v>
      </c>
      <c r="G40" s="42" t="s">
        <v>46</v>
      </c>
      <c r="H40" s="41" t="s">
        <v>48</v>
      </c>
      <c r="I40" s="32" t="s">
        <v>200</v>
      </c>
      <c r="J40" s="32" t="s">
        <v>198</v>
      </c>
    </row>
    <row r="41" spans="2:10">
      <c r="C41" t="s">
        <v>191</v>
      </c>
      <c r="D41" s="31">
        <v>1</v>
      </c>
      <c r="E41" s="31">
        <v>-14.327999999999999</v>
      </c>
      <c r="F41" s="31">
        <f>E41*(-2)</f>
        <v>28.655999999999999</v>
      </c>
      <c r="G41" s="42">
        <v>3</v>
      </c>
      <c r="H41" s="42">
        <v>9.8219999999999992</v>
      </c>
      <c r="I41" s="33">
        <v>0</v>
      </c>
      <c r="J41" s="33">
        <v>0</v>
      </c>
    </row>
    <row r="42" spans="2:10">
      <c r="C42" t="s">
        <v>195</v>
      </c>
      <c r="D42" s="31">
        <v>3</v>
      </c>
      <c r="E42" s="31">
        <v>-9.5399999999999991</v>
      </c>
      <c r="F42" s="31">
        <f>E42*(-2)</f>
        <v>19.079999999999998</v>
      </c>
      <c r="G42" s="42">
        <v>1</v>
      </c>
      <c r="H42" s="42">
        <v>0.24451880000000001</v>
      </c>
      <c r="I42" s="33">
        <v>2</v>
      </c>
      <c r="J42" s="33">
        <f>F41-F42</f>
        <v>9.5760000000000005</v>
      </c>
    </row>
    <row r="43" spans="2:10">
      <c r="C43" t="s">
        <v>33</v>
      </c>
      <c r="D43" s="31">
        <v>4</v>
      </c>
      <c r="E43" s="31">
        <v>-9.4169999999999998</v>
      </c>
      <c r="F43" s="31">
        <f>E43*(-2)</f>
        <v>18.834</v>
      </c>
      <c r="G43" s="42">
        <v>0</v>
      </c>
      <c r="H43" s="42">
        <v>0</v>
      </c>
      <c r="I43" s="33">
        <v>3</v>
      </c>
      <c r="J43" s="33">
        <f>F41-F43</f>
        <v>9.8219999999999992</v>
      </c>
    </row>
    <row r="44" spans="2:10">
      <c r="G44" s="43"/>
      <c r="H44" s="41"/>
    </row>
    <row r="52" spans="5:5">
      <c r="E52" s="31"/>
    </row>
  </sheetData>
  <mergeCells count="1">
    <mergeCell ref="B4:C4"/>
  </mergeCells>
  <phoneticPr fontId="4" type="noConversion"/>
  <pageMargins left="0.75" right="0.75" top="1" bottom="1" header="0.5" footer="0.5"/>
  <pageSetup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H95"/>
  <sheetViews>
    <sheetView topLeftCell="A49" workbookViewId="0">
      <selection activeCell="H8" sqref="H8"/>
    </sheetView>
  </sheetViews>
  <sheetFormatPr defaultColWidth="9" defaultRowHeight="13.2"/>
  <cols>
    <col min="1" max="16384" width="9" style="44"/>
  </cols>
  <sheetData>
    <row r="2" spans="1:8">
      <c r="A2" s="44" t="s">
        <v>275</v>
      </c>
      <c r="B2" s="44">
        <v>0.1</v>
      </c>
      <c r="C2" s="44">
        <v>2</v>
      </c>
      <c r="D2" s="44">
        <v>5</v>
      </c>
      <c r="E2" s="44">
        <v>15</v>
      </c>
    </row>
    <row r="4" spans="1:8">
      <c r="A4" s="44" t="s">
        <v>276</v>
      </c>
      <c r="B4" s="44">
        <v>0.1</v>
      </c>
      <c r="C4" s="44">
        <v>2</v>
      </c>
      <c r="D4" s="44">
        <v>5</v>
      </c>
      <c r="E4" s="44">
        <v>15</v>
      </c>
    </row>
    <row r="5" spans="1:8">
      <c r="A5" s="44">
        <v>0</v>
      </c>
      <c r="B5" s="44">
        <f>((B$2^$A5)*(EXP(-B$2))/(FACT($A5)))</f>
        <v>0.90483741803595952</v>
      </c>
      <c r="C5" s="44">
        <f t="shared" ref="C5:E6" si="0">((C$2^$A5)*(EXP(-C$2))/(FACT($A5)))</f>
        <v>0.1353352832366127</v>
      </c>
      <c r="D5" s="44">
        <f t="shared" si="0"/>
        <v>6.737946999085467E-3</v>
      </c>
      <c r="E5" s="44">
        <f t="shared" si="0"/>
        <v>3.0590232050182579E-7</v>
      </c>
    </row>
    <row r="6" spans="1:8">
      <c r="A6" s="44">
        <v>1</v>
      </c>
      <c r="B6" s="44">
        <f>((B$2^$A6)*(EXP(-B$2))/(FACT($A6)))</f>
        <v>9.048374180359596E-2</v>
      </c>
      <c r="C6" s="44">
        <f t="shared" si="0"/>
        <v>0.2706705664732254</v>
      </c>
      <c r="D6" s="44">
        <f t="shared" si="0"/>
        <v>3.3689734995427337E-2</v>
      </c>
      <c r="E6" s="44">
        <f t="shared" si="0"/>
        <v>4.5885348075273864E-6</v>
      </c>
      <c r="G6" s="44" t="s">
        <v>277</v>
      </c>
    </row>
    <row r="7" spans="1:8">
      <c r="A7" s="44">
        <v>2</v>
      </c>
      <c r="B7" s="44">
        <f t="shared" ref="B7:E40" si="1">((B$2^$A7)*(EXP(-B$2))/(FACT($A7)))</f>
        <v>4.5241870901797984E-3</v>
      </c>
      <c r="C7" s="44">
        <f t="shared" si="1"/>
        <v>0.2706705664732254</v>
      </c>
      <c r="D7" s="44">
        <f t="shared" si="1"/>
        <v>8.4224337488568335E-2</v>
      </c>
      <c r="E7" s="44">
        <f t="shared" si="1"/>
        <v>3.4414011056455399E-5</v>
      </c>
      <c r="H7" s="44" t="s">
        <v>278</v>
      </c>
    </row>
    <row r="8" spans="1:8">
      <c r="A8" s="44">
        <f>A7+1</f>
        <v>3</v>
      </c>
      <c r="B8" s="44">
        <f t="shared" si="1"/>
        <v>1.5080623633932663E-4</v>
      </c>
      <c r="C8" s="44">
        <f t="shared" si="1"/>
        <v>0.18044704431548361</v>
      </c>
      <c r="D8" s="44">
        <f t="shared" si="1"/>
        <v>0.14037389581428056</v>
      </c>
      <c r="E8" s="44">
        <f t="shared" si="1"/>
        <v>1.7207005528227699E-4</v>
      </c>
      <c r="G8" s="44">
        <f>C4/A8</f>
        <v>0.66666666666666663</v>
      </c>
      <c r="H8" s="44">
        <f>C8/C7</f>
        <v>0.66666666666666674</v>
      </c>
    </row>
    <row r="9" spans="1:8">
      <c r="A9" s="44">
        <f t="shared" ref="A9:A40" si="2">A8+1</f>
        <v>4</v>
      </c>
      <c r="B9" s="44">
        <f t="shared" si="1"/>
        <v>3.7701559084831663E-6</v>
      </c>
      <c r="C9" s="44">
        <f t="shared" si="1"/>
        <v>9.0223522157741806E-2</v>
      </c>
      <c r="D9" s="44">
        <f t="shared" si="1"/>
        <v>0.17546736976785071</v>
      </c>
      <c r="E9" s="44">
        <f t="shared" si="1"/>
        <v>6.4526270730853874E-4</v>
      </c>
    </row>
    <row r="10" spans="1:8">
      <c r="A10" s="44">
        <f t="shared" si="2"/>
        <v>5</v>
      </c>
      <c r="B10" s="44">
        <f t="shared" si="1"/>
        <v>7.5403118169663328E-8</v>
      </c>
      <c r="C10" s="44">
        <f t="shared" si="1"/>
        <v>3.6089408863096722E-2</v>
      </c>
      <c r="D10" s="44">
        <f t="shared" si="1"/>
        <v>0.17546736976785071</v>
      </c>
      <c r="E10" s="44">
        <f t="shared" si="1"/>
        <v>1.9357881219256162E-3</v>
      </c>
    </row>
    <row r="11" spans="1:8">
      <c r="A11" s="44">
        <f t="shared" si="2"/>
        <v>6</v>
      </c>
      <c r="B11" s="44">
        <f t="shared" si="1"/>
        <v>1.2567186361610555E-9</v>
      </c>
      <c r="C11" s="44">
        <f t="shared" si="1"/>
        <v>1.2029802954365574E-2</v>
      </c>
      <c r="D11" s="44">
        <f t="shared" si="1"/>
        <v>0.14622280813987559</v>
      </c>
      <c r="E11" s="44">
        <f t="shared" si="1"/>
        <v>4.8394703048140406E-3</v>
      </c>
    </row>
    <row r="12" spans="1:8">
      <c r="A12" s="44">
        <f t="shared" si="2"/>
        <v>7</v>
      </c>
      <c r="B12" s="44">
        <f t="shared" si="1"/>
        <v>1.7953123373729367E-11</v>
      </c>
      <c r="C12" s="44">
        <f t="shared" si="1"/>
        <v>3.4370865583901638E-3</v>
      </c>
      <c r="D12" s="44">
        <f t="shared" si="1"/>
        <v>0.104444862957054</v>
      </c>
      <c r="E12" s="44">
        <f t="shared" si="1"/>
        <v>1.0370293510315801E-2</v>
      </c>
    </row>
    <row r="13" spans="1:8">
      <c r="A13" s="44">
        <f t="shared" si="2"/>
        <v>8</v>
      </c>
      <c r="B13" s="44">
        <f t="shared" si="1"/>
        <v>2.2441404217161715E-13</v>
      </c>
      <c r="C13" s="44">
        <f t="shared" si="1"/>
        <v>8.5927163959754094E-4</v>
      </c>
      <c r="D13" s="44">
        <f t="shared" si="1"/>
        <v>6.5278039348158748E-2</v>
      </c>
      <c r="E13" s="44">
        <f t="shared" si="1"/>
        <v>1.9444300331842128E-2</v>
      </c>
    </row>
    <row r="14" spans="1:8">
      <c r="A14" s="44">
        <f t="shared" si="2"/>
        <v>9</v>
      </c>
      <c r="B14" s="44">
        <f t="shared" si="1"/>
        <v>2.4934893574624127E-15</v>
      </c>
      <c r="C14" s="44">
        <f t="shared" si="1"/>
        <v>1.9094925324389798E-4</v>
      </c>
      <c r="D14" s="44">
        <f t="shared" si="1"/>
        <v>3.6265577415643749E-2</v>
      </c>
      <c r="E14" s="44">
        <f t="shared" si="1"/>
        <v>3.2407167219736882E-2</v>
      </c>
    </row>
    <row r="15" spans="1:8">
      <c r="A15" s="44">
        <f t="shared" si="2"/>
        <v>10</v>
      </c>
      <c r="B15" s="44">
        <f t="shared" si="1"/>
        <v>2.4934893574624131E-17</v>
      </c>
      <c r="C15" s="44">
        <f t="shared" si="1"/>
        <v>3.8189850648779595E-5</v>
      </c>
      <c r="D15" s="44">
        <f t="shared" si="1"/>
        <v>1.8132788707821871E-2</v>
      </c>
      <c r="E15" s="44">
        <f t="shared" si="1"/>
        <v>4.8610750829605316E-2</v>
      </c>
    </row>
    <row r="16" spans="1:8">
      <c r="A16" s="44">
        <f t="shared" si="2"/>
        <v>11</v>
      </c>
      <c r="B16" s="44">
        <f t="shared" si="1"/>
        <v>2.2668085067840122E-19</v>
      </c>
      <c r="C16" s="44">
        <f t="shared" si="1"/>
        <v>6.9436092088690179E-6</v>
      </c>
      <c r="D16" s="44">
        <f t="shared" si="1"/>
        <v>8.2421766853735794E-3</v>
      </c>
      <c r="E16" s="44">
        <f t="shared" si="1"/>
        <v>6.6287387494916347E-2</v>
      </c>
    </row>
    <row r="17" spans="1:5">
      <c r="A17" s="44">
        <f t="shared" si="2"/>
        <v>12</v>
      </c>
      <c r="B17" s="44">
        <f t="shared" si="1"/>
        <v>1.8890070889866775E-21</v>
      </c>
      <c r="C17" s="44">
        <f t="shared" si="1"/>
        <v>1.1572682014781697E-6</v>
      </c>
      <c r="D17" s="44">
        <f t="shared" si="1"/>
        <v>3.4342402855723248E-3</v>
      </c>
      <c r="E17" s="44">
        <f t="shared" si="1"/>
        <v>8.2859234368645424E-2</v>
      </c>
    </row>
    <row r="18" spans="1:5">
      <c r="A18" s="44">
        <f t="shared" si="2"/>
        <v>13</v>
      </c>
      <c r="B18" s="44">
        <f t="shared" si="1"/>
        <v>1.4530823761435979E-23</v>
      </c>
      <c r="C18" s="44">
        <f t="shared" si="1"/>
        <v>1.7804126176587226E-7</v>
      </c>
      <c r="D18" s="44">
        <f t="shared" si="1"/>
        <v>1.3208616482970478E-3</v>
      </c>
      <c r="E18" s="44">
        <f t="shared" si="1"/>
        <v>9.5606808886898584E-2</v>
      </c>
    </row>
    <row r="19" spans="1:5">
      <c r="A19" s="44">
        <f t="shared" si="2"/>
        <v>14</v>
      </c>
      <c r="B19" s="44">
        <f t="shared" si="1"/>
        <v>1.0379159829597128E-25</v>
      </c>
      <c r="C19" s="44">
        <f t="shared" si="1"/>
        <v>2.5434465966553178E-8</v>
      </c>
      <c r="D19" s="44">
        <f t="shared" si="1"/>
        <v>4.7173630296323143E-4</v>
      </c>
      <c r="E19" s="44">
        <f t="shared" si="1"/>
        <v>0.10243586666453419</v>
      </c>
    </row>
    <row r="20" spans="1:5">
      <c r="A20" s="44">
        <f t="shared" si="2"/>
        <v>15</v>
      </c>
      <c r="B20" s="44">
        <f t="shared" si="1"/>
        <v>6.919439886398087E-28</v>
      </c>
      <c r="C20" s="44">
        <f t="shared" si="1"/>
        <v>3.3912621288737571E-9</v>
      </c>
      <c r="D20" s="44">
        <f t="shared" si="1"/>
        <v>1.5724543432107713E-4</v>
      </c>
      <c r="E20" s="44">
        <f>((E$2^$A20)*(EXP(-E$2))/(FACT($A20)))</f>
        <v>0.10243586666453419</v>
      </c>
    </row>
    <row r="21" spans="1:5">
      <c r="A21" s="44">
        <f t="shared" si="2"/>
        <v>16</v>
      </c>
      <c r="B21" s="44">
        <f t="shared" si="1"/>
        <v>4.3246499289988045E-30</v>
      </c>
      <c r="C21" s="44">
        <f t="shared" si="1"/>
        <v>4.2390776610921964E-10</v>
      </c>
      <c r="D21" s="44">
        <f t="shared" si="1"/>
        <v>4.9139198225336602E-5</v>
      </c>
      <c r="E21" s="44">
        <f t="shared" si="1"/>
        <v>9.6033624998000805E-2</v>
      </c>
    </row>
    <row r="22" spans="1:5">
      <c r="A22" s="44">
        <f t="shared" si="2"/>
        <v>17</v>
      </c>
      <c r="B22" s="44">
        <f t="shared" si="1"/>
        <v>2.5439117229404733E-32</v>
      </c>
      <c r="C22" s="44">
        <f t="shared" si="1"/>
        <v>4.987150189520231E-11</v>
      </c>
      <c r="D22" s="44">
        <f t="shared" si="1"/>
        <v>1.4452705360393119E-5</v>
      </c>
      <c r="E22" s="44">
        <f t="shared" si="1"/>
        <v>8.4735551468824236E-2</v>
      </c>
    </row>
    <row r="23" spans="1:5">
      <c r="A23" s="44">
        <f t="shared" si="2"/>
        <v>18</v>
      </c>
      <c r="B23" s="44">
        <f t="shared" si="1"/>
        <v>1.4132842905224854E-34</v>
      </c>
      <c r="C23" s="44">
        <f t="shared" si="1"/>
        <v>5.5412779883558121E-12</v>
      </c>
      <c r="D23" s="44">
        <f t="shared" si="1"/>
        <v>4.0146403778869772E-6</v>
      </c>
      <c r="E23" s="44">
        <f t="shared" si="1"/>
        <v>7.0612959557353527E-2</v>
      </c>
    </row>
    <row r="24" spans="1:5">
      <c r="A24" s="44">
        <f t="shared" si="2"/>
        <v>19</v>
      </c>
      <c r="B24" s="44">
        <f t="shared" si="1"/>
        <v>7.4383383711709765E-37</v>
      </c>
      <c r="C24" s="44">
        <f t="shared" si="1"/>
        <v>5.8329241982692758E-13</v>
      </c>
      <c r="D24" s="44">
        <f t="shared" si="1"/>
        <v>1.0564843099702573E-6</v>
      </c>
      <c r="E24" s="44">
        <f t="shared" si="1"/>
        <v>5.5747073334752796E-2</v>
      </c>
    </row>
    <row r="25" spans="1:5">
      <c r="A25" s="44">
        <f t="shared" si="2"/>
        <v>20</v>
      </c>
      <c r="B25" s="44">
        <f t="shared" si="1"/>
        <v>3.7191691855854888E-39</v>
      </c>
      <c r="C25" s="44">
        <f t="shared" si="1"/>
        <v>5.8329241982692758E-14</v>
      </c>
      <c r="D25" s="44">
        <f t="shared" si="1"/>
        <v>2.6412107749256427E-7</v>
      </c>
      <c r="E25" s="44">
        <f t="shared" si="1"/>
        <v>4.1810305001064599E-2</v>
      </c>
    </row>
    <row r="26" spans="1:5">
      <c r="A26" s="44">
        <f t="shared" si="2"/>
        <v>21</v>
      </c>
      <c r="B26" s="44">
        <f t="shared" si="1"/>
        <v>1.7710329455169001E-41</v>
      </c>
      <c r="C26" s="44">
        <f t="shared" si="1"/>
        <v>5.5551659031135968E-15</v>
      </c>
      <c r="D26" s="44">
        <f t="shared" si="1"/>
        <v>6.2885970831562931E-8</v>
      </c>
      <c r="E26" s="44">
        <f t="shared" si="1"/>
        <v>2.9864503572188998E-2</v>
      </c>
    </row>
    <row r="27" spans="1:5">
      <c r="A27" s="44">
        <f t="shared" si="2"/>
        <v>22</v>
      </c>
      <c r="B27" s="44">
        <f t="shared" si="1"/>
        <v>8.050149752349545E-44</v>
      </c>
      <c r="C27" s="44">
        <f t="shared" si="1"/>
        <v>5.0501508210123601E-16</v>
      </c>
      <c r="D27" s="44">
        <f t="shared" si="1"/>
        <v>1.4292266098082485E-8</v>
      </c>
      <c r="E27" s="44">
        <f t="shared" si="1"/>
        <v>2.0362161526492496E-2</v>
      </c>
    </row>
    <row r="28" spans="1:5">
      <c r="A28" s="44">
        <f t="shared" si="2"/>
        <v>23</v>
      </c>
      <c r="B28" s="44">
        <f t="shared" si="1"/>
        <v>3.5000651097171934E-46</v>
      </c>
      <c r="C28" s="44">
        <f t="shared" si="1"/>
        <v>4.3914354965324873E-17</v>
      </c>
      <c r="D28" s="44">
        <f t="shared" si="1"/>
        <v>3.1070143691483657E-9</v>
      </c>
      <c r="E28" s="44">
        <f t="shared" si="1"/>
        <v>1.3279670560755975E-2</v>
      </c>
    </row>
    <row r="29" spans="1:5">
      <c r="A29" s="44">
        <f t="shared" si="2"/>
        <v>24</v>
      </c>
      <c r="B29" s="44">
        <f t="shared" si="1"/>
        <v>1.4583604623821642E-48</v>
      </c>
      <c r="C29" s="44">
        <f t="shared" si="1"/>
        <v>3.6595295804437394E-18</v>
      </c>
      <c r="D29" s="44">
        <f t="shared" si="1"/>
        <v>6.4729466023924289E-10</v>
      </c>
      <c r="E29" s="44">
        <f t="shared" si="1"/>
        <v>8.2997941004724855E-3</v>
      </c>
    </row>
    <row r="30" spans="1:5">
      <c r="A30" s="44">
        <f t="shared" si="2"/>
        <v>25</v>
      </c>
      <c r="B30" s="44">
        <f t="shared" si="1"/>
        <v>5.8334418495286571E-51</v>
      </c>
      <c r="C30" s="44">
        <f t="shared" si="1"/>
        <v>2.9276236643549919E-19</v>
      </c>
      <c r="D30" s="44">
        <f t="shared" si="1"/>
        <v>1.2945893204784861E-10</v>
      </c>
      <c r="E30" s="44">
        <f t="shared" si="1"/>
        <v>4.9798764602834913E-3</v>
      </c>
    </row>
    <row r="31" spans="1:5">
      <c r="A31" s="44">
        <f t="shared" si="2"/>
        <v>26</v>
      </c>
      <c r="B31" s="44">
        <f t="shared" si="1"/>
        <v>2.2436314805879451E-53</v>
      </c>
      <c r="C31" s="44">
        <f t="shared" si="1"/>
        <v>2.2520182033499931E-20</v>
      </c>
      <c r="D31" s="44">
        <f t="shared" si="1"/>
        <v>2.4895948470740111E-11</v>
      </c>
      <c r="E31" s="44">
        <f t="shared" si="1"/>
        <v>2.873005650163552E-3</v>
      </c>
    </row>
    <row r="32" spans="1:5">
      <c r="A32" s="44">
        <f t="shared" si="2"/>
        <v>27</v>
      </c>
      <c r="B32" s="44">
        <f t="shared" si="1"/>
        <v>8.3097462243997964E-56</v>
      </c>
      <c r="C32" s="44">
        <f t="shared" si="1"/>
        <v>1.6681616321111063E-21</v>
      </c>
      <c r="D32" s="44">
        <f t="shared" si="1"/>
        <v>4.6103608279148357E-12</v>
      </c>
      <c r="E32" s="44">
        <f t="shared" si="1"/>
        <v>1.5961142500908623E-3</v>
      </c>
    </row>
    <row r="33" spans="1:5">
      <c r="A33" s="44">
        <f t="shared" si="2"/>
        <v>28</v>
      </c>
      <c r="B33" s="44">
        <f t="shared" si="1"/>
        <v>2.9677665087142148E-58</v>
      </c>
      <c r="C33" s="44">
        <f t="shared" si="1"/>
        <v>1.1915440229365047E-22</v>
      </c>
      <c r="D33" s="44">
        <f t="shared" si="1"/>
        <v>8.232787192705065E-13</v>
      </c>
      <c r="E33" s="44">
        <f t="shared" si="1"/>
        <v>8.5506120540581947E-4</v>
      </c>
    </row>
    <row r="34" spans="1:5">
      <c r="A34" s="44">
        <f t="shared" si="2"/>
        <v>29</v>
      </c>
      <c r="B34" s="44">
        <f t="shared" si="1"/>
        <v>1.0233677616255914E-60</v>
      </c>
      <c r="C34" s="44">
        <f t="shared" si="1"/>
        <v>8.2175449857689973E-24</v>
      </c>
      <c r="D34" s="44">
        <f t="shared" si="1"/>
        <v>1.4194460677077695E-13</v>
      </c>
      <c r="E34" s="44">
        <f t="shared" si="1"/>
        <v>4.4227303727887202E-4</v>
      </c>
    </row>
    <row r="35" spans="1:5">
      <c r="A35" s="44">
        <f t="shared" si="2"/>
        <v>30</v>
      </c>
      <c r="B35" s="44">
        <f t="shared" si="1"/>
        <v>3.4112258720853032E-63</v>
      </c>
      <c r="C35" s="44">
        <f t="shared" si="1"/>
        <v>5.4783633238459971E-25</v>
      </c>
      <c r="D35" s="44">
        <f t="shared" si="1"/>
        <v>2.3657434461796156E-14</v>
      </c>
      <c r="E35" s="44">
        <f t="shared" si="1"/>
        <v>2.2113651863943593E-4</v>
      </c>
    </row>
    <row r="36" spans="1:5">
      <c r="A36" s="44">
        <f t="shared" si="2"/>
        <v>31</v>
      </c>
      <c r="B36" s="44">
        <f t="shared" si="1"/>
        <v>1.1003954426081628E-65</v>
      </c>
      <c r="C36" s="44">
        <f t="shared" si="1"/>
        <v>3.5344279508683854E-26</v>
      </c>
      <c r="D36" s="44">
        <f t="shared" si="1"/>
        <v>3.815715235773574E-15</v>
      </c>
      <c r="E36" s="44">
        <f t="shared" si="1"/>
        <v>1.0700154127714644E-4</v>
      </c>
    </row>
    <row r="37" spans="1:5">
      <c r="A37" s="44">
        <f t="shared" si="2"/>
        <v>32</v>
      </c>
      <c r="B37" s="44">
        <f t="shared" si="1"/>
        <v>3.4387357581505095E-68</v>
      </c>
      <c r="C37" s="44">
        <f t="shared" si="1"/>
        <v>2.2090174692927409E-27</v>
      </c>
      <c r="D37" s="44">
        <f t="shared" si="1"/>
        <v>5.9620550558962087E-16</v>
      </c>
      <c r="E37" s="44">
        <f t="shared" si="1"/>
        <v>5.0156972473662394E-5</v>
      </c>
    </row>
    <row r="38" spans="1:5">
      <c r="A38" s="44">
        <f t="shared" si="2"/>
        <v>33</v>
      </c>
      <c r="B38" s="44">
        <f t="shared" si="1"/>
        <v>1.0420411388334872E-70</v>
      </c>
      <c r="C38" s="44">
        <f t="shared" si="1"/>
        <v>1.3387984662380244E-28</v>
      </c>
      <c r="D38" s="44">
        <f t="shared" si="1"/>
        <v>9.0334167513578916E-17</v>
      </c>
      <c r="E38" s="44">
        <f t="shared" si="1"/>
        <v>2.2798623851664718E-5</v>
      </c>
    </row>
    <row r="39" spans="1:5">
      <c r="A39" s="44">
        <f t="shared" si="2"/>
        <v>34</v>
      </c>
      <c r="B39" s="44">
        <f t="shared" si="1"/>
        <v>3.0648268789220246E-73</v>
      </c>
      <c r="C39" s="44">
        <f t="shared" si="1"/>
        <v>7.8752850955177951E-30</v>
      </c>
      <c r="D39" s="44">
        <f t="shared" si="1"/>
        <v>1.3284436399055728E-17</v>
      </c>
      <c r="E39" s="44">
        <f t="shared" si="1"/>
        <v>1.0058216405146206E-5</v>
      </c>
    </row>
    <row r="40" spans="1:5">
      <c r="A40" s="44">
        <f t="shared" si="2"/>
        <v>35</v>
      </c>
      <c r="B40" s="44">
        <f t="shared" si="1"/>
        <v>8.756648225491495E-76</v>
      </c>
      <c r="C40" s="44">
        <f t="shared" si="1"/>
        <v>4.5001629117244532E-31</v>
      </c>
      <c r="D40" s="44">
        <f t="shared" si="1"/>
        <v>1.8977766284365324E-18</v>
      </c>
      <c r="E40" s="44">
        <f t="shared" si="1"/>
        <v>4.3106641736340876E-6</v>
      </c>
    </row>
    <row r="57" spans="1:5">
      <c r="A57" s="44" t="s">
        <v>275</v>
      </c>
      <c r="B57" s="44">
        <v>0.1</v>
      </c>
      <c r="C57" s="44">
        <v>2</v>
      </c>
      <c r="D57" s="44">
        <v>5</v>
      </c>
      <c r="E57" s="44">
        <v>15</v>
      </c>
    </row>
    <row r="59" spans="1:5">
      <c r="A59" s="44" t="s">
        <v>276</v>
      </c>
      <c r="B59" s="44">
        <v>0.1</v>
      </c>
      <c r="C59" s="44">
        <v>2</v>
      </c>
      <c r="D59" s="44">
        <v>5</v>
      </c>
      <c r="E59" s="44">
        <v>15</v>
      </c>
    </row>
    <row r="60" spans="1:5">
      <c r="A60" s="44">
        <v>0</v>
      </c>
      <c r="B60" s="44">
        <f>B5</f>
        <v>0.90483741803595952</v>
      </c>
      <c r="C60" s="44">
        <f>C5</f>
        <v>0.1353352832366127</v>
      </c>
      <c r="D60" s="44">
        <f>D5</f>
        <v>6.737946999085467E-3</v>
      </c>
      <c r="E60" s="44">
        <f>E5</f>
        <v>3.0590232050182579E-7</v>
      </c>
    </row>
    <row r="61" spans="1:5">
      <c r="A61" s="44">
        <v>1</v>
      </c>
      <c r="B61" s="44">
        <f t="shared" ref="B61:E76" si="3">B60+B6</f>
        <v>0.99532115983955549</v>
      </c>
      <c r="C61" s="44">
        <f t="shared" si="3"/>
        <v>0.40600584970983811</v>
      </c>
      <c r="D61" s="44">
        <f t="shared" si="3"/>
        <v>4.0427681994512805E-2</v>
      </c>
      <c r="E61" s="44">
        <f t="shared" si="3"/>
        <v>4.8944371280292126E-6</v>
      </c>
    </row>
    <row r="62" spans="1:5">
      <c r="A62" s="44">
        <v>2</v>
      </c>
      <c r="B62" s="44">
        <f t="shared" si="3"/>
        <v>0.99984534692973526</v>
      </c>
      <c r="C62" s="44">
        <f t="shared" si="3"/>
        <v>0.67667641618306351</v>
      </c>
      <c r="D62" s="44">
        <f t="shared" si="3"/>
        <v>0.12465201948308113</v>
      </c>
      <c r="E62" s="44">
        <f t="shared" si="3"/>
        <v>3.9308448184484612E-5</v>
      </c>
    </row>
    <row r="63" spans="1:5">
      <c r="A63" s="44">
        <f>A62+1</f>
        <v>3</v>
      </c>
      <c r="B63" s="44">
        <f t="shared" si="3"/>
        <v>0.9999961531660746</v>
      </c>
      <c r="C63" s="44">
        <f t="shared" si="3"/>
        <v>0.85712346049854715</v>
      </c>
      <c r="D63" s="44">
        <f t="shared" si="3"/>
        <v>0.26502591529736169</v>
      </c>
      <c r="E63" s="44">
        <f t="shared" si="3"/>
        <v>2.113785034667616E-4</v>
      </c>
    </row>
    <row r="64" spans="1:5">
      <c r="A64" s="44">
        <f t="shared" ref="A64:A95" si="4">A63+1</f>
        <v>4</v>
      </c>
      <c r="B64" s="44">
        <f t="shared" si="3"/>
        <v>0.99999992332198306</v>
      </c>
      <c r="C64" s="44">
        <f t="shared" si="3"/>
        <v>0.94734698265628892</v>
      </c>
      <c r="D64" s="44">
        <f t="shared" si="3"/>
        <v>0.4404932850652124</v>
      </c>
      <c r="E64" s="44">
        <f t="shared" si="3"/>
        <v>8.5664121077530032E-4</v>
      </c>
    </row>
    <row r="65" spans="1:5">
      <c r="A65" s="44">
        <f t="shared" si="4"/>
        <v>5</v>
      </c>
      <c r="B65" s="44">
        <f t="shared" si="3"/>
        <v>0.99999999872510126</v>
      </c>
      <c r="C65" s="44">
        <f t="shared" si="3"/>
        <v>0.98343639151938567</v>
      </c>
      <c r="D65" s="44">
        <f t="shared" si="3"/>
        <v>0.61596065483306317</v>
      </c>
      <c r="E65" s="44">
        <f t="shared" si="3"/>
        <v>2.7924293327009166E-3</v>
      </c>
    </row>
    <row r="66" spans="1:5">
      <c r="A66" s="44">
        <f t="shared" si="4"/>
        <v>6</v>
      </c>
      <c r="B66" s="44">
        <f t="shared" si="3"/>
        <v>0.99999999998181988</v>
      </c>
      <c r="C66" s="44">
        <f t="shared" si="3"/>
        <v>0.99546619447375129</v>
      </c>
      <c r="D66" s="44">
        <f t="shared" si="3"/>
        <v>0.76218346297293871</v>
      </c>
      <c r="E66" s="44">
        <f t="shared" si="3"/>
        <v>7.6318996375149568E-3</v>
      </c>
    </row>
    <row r="67" spans="1:5">
      <c r="A67" s="44">
        <f t="shared" si="4"/>
        <v>7</v>
      </c>
      <c r="B67" s="44">
        <f t="shared" si="3"/>
        <v>0.99999999999977296</v>
      </c>
      <c r="C67" s="44">
        <f t="shared" si="3"/>
        <v>0.99890328103214143</v>
      </c>
      <c r="D67" s="44">
        <f t="shared" si="3"/>
        <v>0.86662832592999273</v>
      </c>
      <c r="E67" s="44">
        <f t="shared" si="3"/>
        <v>1.8002193147830758E-2</v>
      </c>
    </row>
    <row r="68" spans="1:5">
      <c r="A68" s="44">
        <f t="shared" si="4"/>
        <v>8</v>
      </c>
      <c r="B68" s="44">
        <f t="shared" si="3"/>
        <v>0.99999999999999734</v>
      </c>
      <c r="C68" s="44">
        <f t="shared" si="3"/>
        <v>0.99976255267173897</v>
      </c>
      <c r="D68" s="44">
        <f t="shared" si="3"/>
        <v>0.93190636527815152</v>
      </c>
      <c r="E68" s="44">
        <f t="shared" si="3"/>
        <v>3.7446493479672882E-2</v>
      </c>
    </row>
    <row r="69" spans="1:5">
      <c r="A69" s="44">
        <f t="shared" si="4"/>
        <v>9</v>
      </c>
      <c r="B69" s="44">
        <f t="shared" si="3"/>
        <v>0.99999999999999978</v>
      </c>
      <c r="C69" s="44">
        <f t="shared" si="3"/>
        <v>0.99995350192498289</v>
      </c>
      <c r="D69" s="44">
        <f t="shared" si="3"/>
        <v>0.96817194269379525</v>
      </c>
      <c r="E69" s="44">
        <f t="shared" si="3"/>
        <v>6.9853660699409764E-2</v>
      </c>
    </row>
    <row r="70" spans="1:5">
      <c r="A70" s="44">
        <f t="shared" si="4"/>
        <v>10</v>
      </c>
      <c r="B70" s="44">
        <f t="shared" si="3"/>
        <v>0.99999999999999978</v>
      </c>
      <c r="C70" s="44">
        <f t="shared" si="3"/>
        <v>0.99999169177563163</v>
      </c>
      <c r="D70" s="44">
        <f t="shared" si="3"/>
        <v>0.98630473140161712</v>
      </c>
      <c r="E70" s="44">
        <f t="shared" si="3"/>
        <v>0.11846441152901507</v>
      </c>
    </row>
    <row r="71" spans="1:5">
      <c r="A71" s="44">
        <f t="shared" si="4"/>
        <v>11</v>
      </c>
      <c r="B71" s="44">
        <f t="shared" si="3"/>
        <v>0.99999999999999978</v>
      </c>
      <c r="C71" s="44">
        <f t="shared" si="3"/>
        <v>0.99999863538484046</v>
      </c>
      <c r="D71" s="44">
        <f t="shared" si="3"/>
        <v>0.99454690808699064</v>
      </c>
      <c r="E71" s="44">
        <f t="shared" si="3"/>
        <v>0.18475179902393141</v>
      </c>
    </row>
    <row r="72" spans="1:5">
      <c r="A72" s="44">
        <f t="shared" si="4"/>
        <v>12</v>
      </c>
      <c r="B72" s="44">
        <f t="shared" si="3"/>
        <v>0.99999999999999978</v>
      </c>
      <c r="C72" s="44">
        <f t="shared" si="3"/>
        <v>0.99999979265304195</v>
      </c>
      <c r="D72" s="44">
        <f t="shared" si="3"/>
        <v>0.99798114837256302</v>
      </c>
      <c r="E72" s="44">
        <f t="shared" si="3"/>
        <v>0.26761103339257686</v>
      </c>
    </row>
    <row r="73" spans="1:5">
      <c r="A73" s="44">
        <f t="shared" si="4"/>
        <v>13</v>
      </c>
      <c r="B73" s="44">
        <f t="shared" si="3"/>
        <v>0.99999999999999978</v>
      </c>
      <c r="C73" s="44">
        <f t="shared" si="3"/>
        <v>0.99999997069430369</v>
      </c>
      <c r="D73" s="44">
        <f t="shared" si="3"/>
        <v>0.99930201002086005</v>
      </c>
      <c r="E73" s="44">
        <f t="shared" si="3"/>
        <v>0.36321784227947546</v>
      </c>
    </row>
    <row r="74" spans="1:5">
      <c r="A74" s="44">
        <f t="shared" si="4"/>
        <v>14</v>
      </c>
      <c r="B74" s="44">
        <f t="shared" si="3"/>
        <v>0.99999999999999978</v>
      </c>
      <c r="C74" s="44">
        <f t="shared" si="3"/>
        <v>0.99999999612876966</v>
      </c>
      <c r="D74" s="44">
        <f t="shared" si="3"/>
        <v>0.99977374632382332</v>
      </c>
      <c r="E74" s="44">
        <f t="shared" si="3"/>
        <v>0.46565370894400965</v>
      </c>
    </row>
    <row r="75" spans="1:5">
      <c r="A75" s="44">
        <f t="shared" si="4"/>
        <v>15</v>
      </c>
      <c r="B75" s="44">
        <f t="shared" si="3"/>
        <v>0.99999999999999978</v>
      </c>
      <c r="C75" s="44">
        <f t="shared" si="3"/>
        <v>0.99999999952003182</v>
      </c>
      <c r="D75" s="44">
        <f t="shared" si="3"/>
        <v>0.99993099175814437</v>
      </c>
      <c r="E75" s="44">
        <f t="shared" si="3"/>
        <v>0.56808957560854378</v>
      </c>
    </row>
    <row r="76" spans="1:5">
      <c r="A76" s="44">
        <f t="shared" si="4"/>
        <v>16</v>
      </c>
      <c r="B76" s="44">
        <f t="shared" si="3"/>
        <v>0.99999999999999978</v>
      </c>
      <c r="C76" s="44">
        <f t="shared" si="3"/>
        <v>0.99999999994393962</v>
      </c>
      <c r="D76" s="44">
        <f t="shared" si="3"/>
        <v>0.99998013095636973</v>
      </c>
      <c r="E76" s="44">
        <f t="shared" si="3"/>
        <v>0.66412320060654462</v>
      </c>
    </row>
    <row r="77" spans="1:5">
      <c r="A77" s="44">
        <f t="shared" si="4"/>
        <v>17</v>
      </c>
      <c r="B77" s="44">
        <f t="shared" ref="B77:E92" si="5">B76+B22</f>
        <v>0.99999999999999978</v>
      </c>
      <c r="C77" s="44">
        <f t="shared" si="5"/>
        <v>0.99999999999381117</v>
      </c>
      <c r="D77" s="44">
        <f t="shared" si="5"/>
        <v>0.99999458366173011</v>
      </c>
      <c r="E77" s="44">
        <f t="shared" si="5"/>
        <v>0.74885875207536889</v>
      </c>
    </row>
    <row r="78" spans="1:5">
      <c r="A78" s="44">
        <f t="shared" si="4"/>
        <v>18</v>
      </c>
      <c r="B78" s="44">
        <f t="shared" si="5"/>
        <v>0.99999999999999978</v>
      </c>
      <c r="C78" s="44">
        <f t="shared" si="5"/>
        <v>0.99999999999935241</v>
      </c>
      <c r="D78" s="44">
        <f t="shared" si="5"/>
        <v>0.99999859830210802</v>
      </c>
      <c r="E78" s="44">
        <f t="shared" si="5"/>
        <v>0.81947171163272237</v>
      </c>
    </row>
    <row r="79" spans="1:5">
      <c r="A79" s="44">
        <f t="shared" si="4"/>
        <v>19</v>
      </c>
      <c r="B79" s="44">
        <f t="shared" si="5"/>
        <v>0.99999999999999978</v>
      </c>
      <c r="C79" s="44">
        <f t="shared" si="5"/>
        <v>0.99999999999993572</v>
      </c>
      <c r="D79" s="44">
        <f t="shared" si="5"/>
        <v>0.99999965478641795</v>
      </c>
      <c r="E79" s="44">
        <f t="shared" si="5"/>
        <v>0.87521878496747518</v>
      </c>
    </row>
    <row r="80" spans="1:5">
      <c r="A80" s="44">
        <f t="shared" si="4"/>
        <v>20</v>
      </c>
      <c r="B80" s="44">
        <f t="shared" si="5"/>
        <v>0.99999999999999978</v>
      </c>
      <c r="C80" s="44">
        <f t="shared" si="5"/>
        <v>0.999999999999994</v>
      </c>
      <c r="D80" s="44">
        <f t="shared" si="5"/>
        <v>0.9999999189074954</v>
      </c>
      <c r="E80" s="44">
        <f t="shared" si="5"/>
        <v>0.91702908996853982</v>
      </c>
    </row>
    <row r="81" spans="1:5">
      <c r="A81" s="44">
        <f t="shared" si="4"/>
        <v>21</v>
      </c>
      <c r="B81" s="44">
        <f t="shared" si="5"/>
        <v>0.99999999999999978</v>
      </c>
      <c r="C81" s="44">
        <f t="shared" si="5"/>
        <v>0.99999999999999956</v>
      </c>
      <c r="D81" s="44">
        <f t="shared" si="5"/>
        <v>0.99999998179346627</v>
      </c>
      <c r="E81" s="44">
        <f t="shared" si="5"/>
        <v>0.94689359354072877</v>
      </c>
    </row>
    <row r="82" spans="1:5">
      <c r="A82" s="44">
        <f t="shared" si="4"/>
        <v>22</v>
      </c>
      <c r="B82" s="44">
        <f t="shared" si="5"/>
        <v>0.99999999999999978</v>
      </c>
      <c r="C82" s="44">
        <f t="shared" si="5"/>
        <v>1</v>
      </c>
      <c r="D82" s="44">
        <f t="shared" si="5"/>
        <v>0.99999999608573242</v>
      </c>
      <c r="E82" s="44">
        <f t="shared" si="5"/>
        <v>0.96725575506722128</v>
      </c>
    </row>
    <row r="83" spans="1:5">
      <c r="A83" s="44">
        <f t="shared" si="4"/>
        <v>23</v>
      </c>
      <c r="B83" s="44">
        <f t="shared" si="5"/>
        <v>0.99999999999999978</v>
      </c>
      <c r="C83" s="44">
        <f t="shared" si="5"/>
        <v>1</v>
      </c>
      <c r="D83" s="44">
        <f t="shared" si="5"/>
        <v>0.99999999919274685</v>
      </c>
      <c r="E83" s="44">
        <f t="shared" si="5"/>
        <v>0.98053542562797724</v>
      </c>
    </row>
    <row r="84" spans="1:5">
      <c r="A84" s="44">
        <f t="shared" si="4"/>
        <v>24</v>
      </c>
      <c r="B84" s="44">
        <f t="shared" si="5"/>
        <v>0.99999999999999978</v>
      </c>
      <c r="C84" s="44">
        <f t="shared" si="5"/>
        <v>1</v>
      </c>
      <c r="D84" s="44">
        <f t="shared" si="5"/>
        <v>0.99999999984004151</v>
      </c>
      <c r="E84" s="44">
        <f t="shared" si="5"/>
        <v>0.98883521972844968</v>
      </c>
    </row>
    <row r="85" spans="1:5">
      <c r="A85" s="44">
        <f t="shared" si="4"/>
        <v>25</v>
      </c>
      <c r="B85" s="44">
        <f t="shared" si="5"/>
        <v>0.99999999999999978</v>
      </c>
      <c r="C85" s="44">
        <f t="shared" si="5"/>
        <v>1</v>
      </c>
      <c r="D85" s="44">
        <f t="shared" si="5"/>
        <v>0.9999999999695004</v>
      </c>
      <c r="E85" s="44">
        <f t="shared" si="5"/>
        <v>0.9938150961887332</v>
      </c>
    </row>
    <row r="86" spans="1:5">
      <c r="A86" s="44">
        <f t="shared" si="4"/>
        <v>26</v>
      </c>
      <c r="B86" s="44">
        <f t="shared" si="5"/>
        <v>0.99999999999999978</v>
      </c>
      <c r="C86" s="44">
        <f t="shared" si="5"/>
        <v>1</v>
      </c>
      <c r="D86" s="44">
        <f t="shared" si="5"/>
        <v>0.99999999999439637</v>
      </c>
      <c r="E86" s="44">
        <f t="shared" si="5"/>
        <v>0.99668810183889678</v>
      </c>
    </row>
    <row r="87" spans="1:5">
      <c r="A87" s="44">
        <f t="shared" si="4"/>
        <v>27</v>
      </c>
      <c r="B87" s="44">
        <f t="shared" si="5"/>
        <v>0.99999999999999978</v>
      </c>
      <c r="C87" s="44">
        <f t="shared" si="5"/>
        <v>1</v>
      </c>
      <c r="D87" s="44">
        <f t="shared" si="5"/>
        <v>0.99999999999900668</v>
      </c>
      <c r="E87" s="44">
        <f t="shared" si="5"/>
        <v>0.99828421608898765</v>
      </c>
    </row>
    <row r="88" spans="1:5">
      <c r="A88" s="44">
        <f t="shared" si="4"/>
        <v>28</v>
      </c>
      <c r="B88" s="44">
        <f t="shared" si="5"/>
        <v>0.99999999999999978</v>
      </c>
      <c r="C88" s="44">
        <f t="shared" si="5"/>
        <v>1</v>
      </c>
      <c r="D88" s="44">
        <f t="shared" si="5"/>
        <v>0.99999999999982991</v>
      </c>
      <c r="E88" s="44">
        <f t="shared" si="5"/>
        <v>0.99913927729439345</v>
      </c>
    </row>
    <row r="89" spans="1:5">
      <c r="A89" s="44">
        <f t="shared" si="4"/>
        <v>29</v>
      </c>
      <c r="B89" s="44">
        <f t="shared" si="5"/>
        <v>0.99999999999999978</v>
      </c>
      <c r="C89" s="44">
        <f t="shared" si="5"/>
        <v>1</v>
      </c>
      <c r="D89" s="44">
        <f t="shared" si="5"/>
        <v>0.99999999999997191</v>
      </c>
      <c r="E89" s="44">
        <f t="shared" si="5"/>
        <v>0.99958155033167229</v>
      </c>
    </row>
    <row r="90" spans="1:5">
      <c r="A90" s="44">
        <f t="shared" si="4"/>
        <v>30</v>
      </c>
      <c r="B90" s="44">
        <f t="shared" si="5"/>
        <v>0.99999999999999978</v>
      </c>
      <c r="C90" s="44">
        <f t="shared" si="5"/>
        <v>1</v>
      </c>
      <c r="D90" s="44">
        <f t="shared" si="5"/>
        <v>0.99999999999999556</v>
      </c>
      <c r="E90" s="44">
        <f t="shared" si="5"/>
        <v>0.99980268685031171</v>
      </c>
    </row>
    <row r="91" spans="1:5">
      <c r="A91" s="44">
        <f t="shared" si="4"/>
        <v>31</v>
      </c>
      <c r="B91" s="44">
        <f t="shared" si="5"/>
        <v>0.99999999999999978</v>
      </c>
      <c r="C91" s="44">
        <f t="shared" si="5"/>
        <v>1</v>
      </c>
      <c r="D91" s="44">
        <f t="shared" si="5"/>
        <v>0.99999999999999933</v>
      </c>
      <c r="E91" s="44">
        <f t="shared" si="5"/>
        <v>0.99990968839158889</v>
      </c>
    </row>
    <row r="92" spans="1:5">
      <c r="A92" s="44">
        <f t="shared" si="4"/>
        <v>32</v>
      </c>
      <c r="B92" s="44">
        <f t="shared" si="5"/>
        <v>0.99999999999999978</v>
      </c>
      <c r="C92" s="44">
        <f t="shared" si="5"/>
        <v>1</v>
      </c>
      <c r="D92" s="44">
        <f t="shared" si="5"/>
        <v>0.99999999999999989</v>
      </c>
      <c r="E92" s="44">
        <f t="shared" si="5"/>
        <v>0.99995984536406257</v>
      </c>
    </row>
    <row r="93" spans="1:5">
      <c r="A93" s="44">
        <f t="shared" si="4"/>
        <v>33</v>
      </c>
      <c r="B93" s="44">
        <f t="shared" ref="B93:E95" si="6">B92+B38</f>
        <v>0.99999999999999978</v>
      </c>
      <c r="C93" s="44">
        <f t="shared" si="6"/>
        <v>1</v>
      </c>
      <c r="D93" s="44">
        <f t="shared" si="6"/>
        <v>1</v>
      </c>
      <c r="E93" s="44">
        <f t="shared" si="6"/>
        <v>0.99998264398791425</v>
      </c>
    </row>
    <row r="94" spans="1:5">
      <c r="A94" s="44">
        <f t="shared" si="4"/>
        <v>34</v>
      </c>
      <c r="B94" s="44">
        <f t="shared" si="6"/>
        <v>0.99999999999999978</v>
      </c>
      <c r="C94" s="44">
        <f t="shared" si="6"/>
        <v>1</v>
      </c>
      <c r="D94" s="44">
        <f t="shared" si="6"/>
        <v>1</v>
      </c>
      <c r="E94" s="44">
        <f t="shared" si="6"/>
        <v>0.99999270220431935</v>
      </c>
    </row>
    <row r="95" spans="1:5">
      <c r="A95" s="44">
        <f t="shared" si="4"/>
        <v>35</v>
      </c>
      <c r="B95" s="44">
        <f t="shared" si="6"/>
        <v>0.99999999999999978</v>
      </c>
      <c r="C95" s="44">
        <f t="shared" si="6"/>
        <v>1</v>
      </c>
      <c r="D95" s="44">
        <f t="shared" si="6"/>
        <v>1</v>
      </c>
      <c r="E95" s="44">
        <f t="shared" si="6"/>
        <v>0.99999701286849296</v>
      </c>
    </row>
  </sheetData>
  <pageMargins left="0.75" right="0.75" top="1" bottom="1" header="0.5" footer="0.5"/>
  <pageSetup orientation="portrait" verticalDpi="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J300"/>
  <sheetViews>
    <sheetView topLeftCell="H8" workbookViewId="0">
      <selection activeCell="W42" sqref="W42"/>
    </sheetView>
  </sheetViews>
  <sheetFormatPr defaultColWidth="9" defaultRowHeight="13.2"/>
  <cols>
    <col min="1" max="16384" width="9" style="44"/>
  </cols>
  <sheetData>
    <row r="10" spans="1:10">
      <c r="C10" s="44" t="s">
        <v>279</v>
      </c>
      <c r="H10" s="44" t="s">
        <v>280</v>
      </c>
      <c r="J10" s="44" t="s">
        <v>192</v>
      </c>
    </row>
    <row r="11" spans="1:10">
      <c r="B11" s="45" t="s">
        <v>281</v>
      </c>
      <c r="C11" s="45" t="s">
        <v>282</v>
      </c>
      <c r="D11" s="45" t="s">
        <v>283</v>
      </c>
      <c r="E11" s="45" t="s">
        <v>284</v>
      </c>
      <c r="F11" s="45" t="s">
        <v>285</v>
      </c>
      <c r="H11" s="45" t="s">
        <v>286</v>
      </c>
      <c r="J11" s="45" t="s">
        <v>193</v>
      </c>
    </row>
    <row r="12" spans="1:10">
      <c r="A12" s="44" t="s">
        <v>287</v>
      </c>
      <c r="B12" s="45">
        <v>10</v>
      </c>
      <c r="C12" s="45">
        <v>10</v>
      </c>
      <c r="D12" s="45">
        <v>12</v>
      </c>
      <c r="E12" s="45">
        <v>14</v>
      </c>
      <c r="F12" s="45">
        <v>14</v>
      </c>
    </row>
    <row r="13" spans="1:10">
      <c r="A13" s="44">
        <v>1E-3</v>
      </c>
      <c r="B13" s="44">
        <f>(($A13^B$12)*(EXP(-$A13)))/(FACT(B$12))</f>
        <v>2.7529775678829777E-37</v>
      </c>
      <c r="C13" s="44">
        <f>(($A13^C$12)*(EXP(-$A13)))/(FACT(C$12))</f>
        <v>2.7529775678829777E-37</v>
      </c>
      <c r="D13" s="44">
        <f>(($A13^D$12)*(EXP(-$A13)))/(FACT(D$12))</f>
        <v>2.0855890665780135E-45</v>
      </c>
      <c r="E13" s="44">
        <f>(($A13^E$12)*(EXP(-$A13)))/(FACT(E$12))</f>
        <v>1.1459280585593479E-53</v>
      </c>
      <c r="F13" s="44">
        <f>(($A13^F$12)*(EXP(-$A13)))/(FACT(F$12))</f>
        <v>1.1459280585593479E-53</v>
      </c>
      <c r="H13" s="44">
        <f>PRODUCT(A13:F13)</f>
        <v>2.0756245253022424E-227</v>
      </c>
      <c r="J13" s="44">
        <f>LN(H13)</f>
        <v>-521.9565540252006</v>
      </c>
    </row>
    <row r="14" spans="1:10">
      <c r="A14" s="44">
        <v>0.1</v>
      </c>
      <c r="B14" s="44">
        <f t="shared" ref="B14:F64" si="0">(($A14^B$12)*(EXP(-$A14)))/(FACT(B$12))</f>
        <v>2.4934893574624131E-17</v>
      </c>
      <c r="C14" s="44">
        <f t="shared" si="0"/>
        <v>2.4934893574624131E-17</v>
      </c>
      <c r="D14" s="44">
        <f t="shared" si="0"/>
        <v>1.8890070889866775E-21</v>
      </c>
      <c r="E14" s="44">
        <f t="shared" si="0"/>
        <v>1.0379159829597128E-25</v>
      </c>
      <c r="F14" s="44">
        <f t="shared" si="0"/>
        <v>1.0379159829597128E-25</v>
      </c>
      <c r="H14" s="44">
        <f t="shared" ref="H14:H77" si="1">PRODUCT(A14:F14)</f>
        <v>1.2652403250949675E-105</v>
      </c>
      <c r="J14" s="44">
        <f t="shared" ref="J14:J77" si="2">LN(H14)</f>
        <v>-241.53617267992706</v>
      </c>
    </row>
    <row r="15" spans="1:10">
      <c r="A15" s="44">
        <f t="shared" ref="A15:A78" si="3">A14+0.1</f>
        <v>0.2</v>
      </c>
      <c r="B15" s="44">
        <f t="shared" si="0"/>
        <v>2.3103513314369883E-14</v>
      </c>
      <c r="C15" s="44">
        <f t="shared" si="0"/>
        <v>2.3103513314369883E-14</v>
      </c>
      <c r="D15" s="44">
        <f t="shared" si="0"/>
        <v>7.0010646407181485E-18</v>
      </c>
      <c r="E15" s="44">
        <f t="shared" si="0"/>
        <v>1.5386955254325602E-21</v>
      </c>
      <c r="F15" s="44">
        <f t="shared" si="0"/>
        <v>1.5386955254325602E-21</v>
      </c>
      <c r="H15" s="44">
        <f t="shared" si="1"/>
        <v>1.7695201793306165E-87</v>
      </c>
      <c r="J15" s="44">
        <f t="shared" si="2"/>
        <v>-199.7541946657704</v>
      </c>
    </row>
    <row r="16" spans="1:10">
      <c r="A16" s="44">
        <f t="shared" si="3"/>
        <v>0.30000000000000004</v>
      </c>
      <c r="B16" s="44">
        <f t="shared" si="0"/>
        <v>1.205483220707529E-12</v>
      </c>
      <c r="C16" s="44">
        <f t="shared" si="0"/>
        <v>1.205483220707529E-12</v>
      </c>
      <c r="D16" s="44">
        <f t="shared" si="0"/>
        <v>8.2192037775513387E-16</v>
      </c>
      <c r="E16" s="44">
        <f t="shared" si="0"/>
        <v>4.0644414284594539E-19</v>
      </c>
      <c r="F16" s="44">
        <f t="shared" si="0"/>
        <v>4.0644414284594539E-19</v>
      </c>
      <c r="H16" s="44">
        <f t="shared" si="1"/>
        <v>5.9193644657174999E-77</v>
      </c>
      <c r="J16" s="44">
        <f t="shared" si="2"/>
        <v>-175.52082307117237</v>
      </c>
    </row>
    <row r="17" spans="1:10">
      <c r="A17" s="44">
        <f t="shared" si="3"/>
        <v>0.4</v>
      </c>
      <c r="B17" s="44">
        <f t="shared" si="0"/>
        <v>1.9369530219132145E-11</v>
      </c>
      <c r="C17" s="44">
        <f t="shared" si="0"/>
        <v>1.9369530219132145E-11</v>
      </c>
      <c r="D17" s="44">
        <f t="shared" si="0"/>
        <v>2.347821844743291E-14</v>
      </c>
      <c r="E17" s="44">
        <f t="shared" si="0"/>
        <v>2.0640192041699264E-17</v>
      </c>
      <c r="F17" s="44">
        <f t="shared" si="0"/>
        <v>2.0640192041699264E-17</v>
      </c>
      <c r="H17" s="44">
        <f t="shared" si="1"/>
        <v>1.5010348421028486E-69</v>
      </c>
      <c r="J17" s="44">
        <f t="shared" si="2"/>
        <v>-158.47221665161373</v>
      </c>
    </row>
    <row r="18" spans="1:10">
      <c r="A18" s="44">
        <f t="shared" si="3"/>
        <v>0.5</v>
      </c>
      <c r="B18" s="44">
        <f t="shared" si="0"/>
        <v>1.6322616219566209E-10</v>
      </c>
      <c r="C18" s="44">
        <f t="shared" si="0"/>
        <v>1.6322616219566209E-10</v>
      </c>
      <c r="D18" s="44">
        <f t="shared" si="0"/>
        <v>3.0914045870390545E-13</v>
      </c>
      <c r="E18" s="44">
        <f t="shared" si="0"/>
        <v>4.246434872306394E-16</v>
      </c>
      <c r="F18" s="44">
        <f t="shared" si="0"/>
        <v>4.246434872306394E-16</v>
      </c>
      <c r="H18" s="44">
        <f t="shared" si="1"/>
        <v>7.4259894136288691E-64</v>
      </c>
      <c r="J18" s="44">
        <f t="shared" si="2"/>
        <v>-145.36046002144695</v>
      </c>
    </row>
    <row r="19" spans="1:10">
      <c r="A19" s="44">
        <f t="shared" si="3"/>
        <v>0.6</v>
      </c>
      <c r="B19" s="44">
        <f t="shared" si="0"/>
        <v>9.1447698905724609E-10</v>
      </c>
      <c r="C19" s="44">
        <f t="shared" si="0"/>
        <v>9.1447698905724609E-10</v>
      </c>
      <c r="D19" s="44">
        <f t="shared" si="0"/>
        <v>2.494028151974307E-12</v>
      </c>
      <c r="E19" s="44">
        <f t="shared" si="0"/>
        <v>4.9332424984107174E-15</v>
      </c>
      <c r="F19" s="44">
        <f t="shared" si="0"/>
        <v>4.9332424984107174E-15</v>
      </c>
      <c r="H19" s="44">
        <f t="shared" si="1"/>
        <v>3.0455314855728985E-59</v>
      </c>
      <c r="J19" s="44">
        <f t="shared" si="2"/>
        <v>-134.73884505701571</v>
      </c>
    </row>
    <row r="20" spans="1:10">
      <c r="A20" s="44">
        <f t="shared" si="3"/>
        <v>0.7</v>
      </c>
      <c r="B20" s="44">
        <f t="shared" si="0"/>
        <v>3.8655494195937762E-9</v>
      </c>
      <c r="C20" s="44">
        <f t="shared" si="0"/>
        <v>3.8655494195937762E-9</v>
      </c>
      <c r="D20" s="44">
        <f t="shared" si="0"/>
        <v>1.4349387996976892E-11</v>
      </c>
      <c r="E20" s="44">
        <f t="shared" si="0"/>
        <v>3.8632967684168553E-14</v>
      </c>
      <c r="F20" s="44">
        <f t="shared" si="0"/>
        <v>3.8632967684168553E-14</v>
      </c>
      <c r="H20" s="44">
        <f t="shared" si="1"/>
        <v>2.2401134840804337E-55</v>
      </c>
      <c r="J20" s="44">
        <f t="shared" si="2"/>
        <v>-125.83565358755295</v>
      </c>
    </row>
    <row r="21" spans="1:10">
      <c r="A21" s="44">
        <f t="shared" si="3"/>
        <v>0.79999999999999993</v>
      </c>
      <c r="B21" s="44">
        <f t="shared" si="0"/>
        <v>1.32953952134936E-8</v>
      </c>
      <c r="C21" s="44">
        <f t="shared" si="0"/>
        <v>1.32953952134936E-8</v>
      </c>
      <c r="D21" s="44">
        <f t="shared" si="0"/>
        <v>6.4462522247241672E-11</v>
      </c>
      <c r="E21" s="44">
        <f t="shared" si="0"/>
        <v>2.2668139691337731E-13</v>
      </c>
      <c r="F21" s="44">
        <f t="shared" si="0"/>
        <v>2.2668139691337731E-13</v>
      </c>
      <c r="H21" s="44">
        <f t="shared" si="1"/>
        <v>4.6841580993679233E-52</v>
      </c>
      <c r="J21" s="44">
        <f t="shared" si="2"/>
        <v>-118.19023863745709</v>
      </c>
    </row>
    <row r="22" spans="1:10">
      <c r="A22" s="44">
        <f t="shared" si="3"/>
        <v>0.89999999999999991</v>
      </c>
      <c r="B22" s="44">
        <f t="shared" si="0"/>
        <v>3.9065827477496614E-8</v>
      </c>
      <c r="C22" s="44">
        <f t="shared" si="0"/>
        <v>3.9065827477496614E-8</v>
      </c>
      <c r="D22" s="44">
        <f t="shared" si="0"/>
        <v>2.3972212315736557E-10</v>
      </c>
      <c r="E22" s="44">
        <f t="shared" si="0"/>
        <v>1.0668951635025605E-12</v>
      </c>
      <c r="F22" s="44">
        <f t="shared" si="0"/>
        <v>1.0668951635025605E-12</v>
      </c>
      <c r="H22" s="44">
        <f t="shared" si="1"/>
        <v>3.7479015410123345E-49</v>
      </c>
      <c r="J22" s="44">
        <f t="shared" si="2"/>
        <v>-111.5054734624177</v>
      </c>
    </row>
    <row r="23" spans="1:10">
      <c r="A23" s="44">
        <f t="shared" si="3"/>
        <v>0.99999999999999989</v>
      </c>
      <c r="B23" s="44">
        <f t="shared" si="0"/>
        <v>1.0137771196302966E-7</v>
      </c>
      <c r="C23" s="44">
        <f t="shared" si="0"/>
        <v>1.0137771196302966E-7</v>
      </c>
      <c r="D23" s="44">
        <f t="shared" si="0"/>
        <v>7.6801296941689104E-10</v>
      </c>
      <c r="E23" s="44">
        <f t="shared" si="0"/>
        <v>4.2198514803125878E-12</v>
      </c>
      <c r="F23" s="44">
        <f t="shared" si="0"/>
        <v>4.2198514803125878E-12</v>
      </c>
      <c r="H23" s="44">
        <f t="shared" si="1"/>
        <v>1.4055550391524397E-46</v>
      </c>
      <c r="J23" s="44">
        <f t="shared" si="2"/>
        <v>-105.57848200729029</v>
      </c>
    </row>
    <row r="24" spans="1:10">
      <c r="A24" s="44">
        <f t="shared" si="3"/>
        <v>1.0999999999999999</v>
      </c>
      <c r="B24" s="44">
        <f t="shared" si="0"/>
        <v>2.379248962541912E-7</v>
      </c>
      <c r="C24" s="44">
        <f t="shared" si="0"/>
        <v>2.379248962541912E-7</v>
      </c>
      <c r="D24" s="44">
        <f t="shared" si="0"/>
        <v>2.1809782156634188E-9</v>
      </c>
      <c r="E24" s="44">
        <f t="shared" si="0"/>
        <v>1.4499910115124925E-11</v>
      </c>
      <c r="F24" s="44">
        <f t="shared" si="0"/>
        <v>1.4499910115124925E-11</v>
      </c>
      <c r="H24" s="44">
        <f t="shared" si="1"/>
        <v>2.8553175205024896E-44</v>
      </c>
      <c r="J24" s="44">
        <f t="shared" si="2"/>
        <v>-100.26456103922646</v>
      </c>
    </row>
    <row r="25" spans="1:10">
      <c r="A25" s="44">
        <f t="shared" si="3"/>
        <v>1.2</v>
      </c>
      <c r="B25" s="44">
        <f t="shared" si="0"/>
        <v>5.1392062723568272E-7</v>
      </c>
      <c r="C25" s="44">
        <f t="shared" si="0"/>
        <v>5.1392062723568272E-7</v>
      </c>
      <c r="D25" s="44">
        <f t="shared" si="0"/>
        <v>5.6064068425710848E-9</v>
      </c>
      <c r="E25" s="44">
        <f t="shared" si="0"/>
        <v>4.4358383809353636E-11</v>
      </c>
      <c r="F25" s="44">
        <f t="shared" si="0"/>
        <v>4.4358383809353636E-11</v>
      </c>
      <c r="H25" s="44">
        <f t="shared" si="1"/>
        <v>3.4963055815756451E-42</v>
      </c>
      <c r="J25" s="44">
        <f t="shared" si="2"/>
        <v>-95.456867042859045</v>
      </c>
    </row>
    <row r="26" spans="1:10">
      <c r="A26" s="44">
        <f t="shared" si="3"/>
        <v>1.3</v>
      </c>
      <c r="B26" s="44">
        <f t="shared" si="0"/>
        <v>1.0353511344955025E-6</v>
      </c>
      <c r="C26" s="44">
        <f t="shared" si="0"/>
        <v>1.0353511344955025E-6</v>
      </c>
      <c r="D26" s="44">
        <f t="shared" si="0"/>
        <v>1.3255631949222724E-8</v>
      </c>
      <c r="E26" s="44">
        <f t="shared" si="0"/>
        <v>1.2308801095706817E-10</v>
      </c>
      <c r="F26" s="44">
        <f t="shared" si="0"/>
        <v>1.2308801095706817E-10</v>
      </c>
      <c r="H26" s="44">
        <f t="shared" si="1"/>
        <v>2.7986631171150236E-40</v>
      </c>
      <c r="J26" s="44">
        <f t="shared" si="2"/>
        <v>-91.074261874773327</v>
      </c>
    </row>
    <row r="27" spans="1:10">
      <c r="A27" s="44">
        <f t="shared" si="3"/>
        <v>1.4000000000000001</v>
      </c>
      <c r="B27" s="44">
        <f t="shared" si="0"/>
        <v>1.9656448336380773E-6</v>
      </c>
      <c r="C27" s="44">
        <f t="shared" si="0"/>
        <v>1.9656448336380773E-6</v>
      </c>
      <c r="D27" s="44">
        <f t="shared" si="0"/>
        <v>2.9186847529777517E-8</v>
      </c>
      <c r="E27" s="44">
        <f t="shared" si="0"/>
        <v>3.1431989647452715E-10</v>
      </c>
      <c r="F27" s="44">
        <f t="shared" si="0"/>
        <v>3.1431989647452715E-10</v>
      </c>
      <c r="H27" s="44">
        <f t="shared" si="1"/>
        <v>1.5598005497721796E-38</v>
      </c>
      <c r="J27" s="44">
        <f t="shared" si="2"/>
        <v>-87.053675573396291</v>
      </c>
    </row>
    <row r="28" spans="1:10">
      <c r="A28" s="44">
        <f t="shared" si="3"/>
        <v>1.5000000000000002</v>
      </c>
      <c r="B28" s="44">
        <f t="shared" si="0"/>
        <v>3.5457477405701901E-6</v>
      </c>
      <c r="C28" s="44">
        <f t="shared" si="0"/>
        <v>3.5457477405701901E-6</v>
      </c>
      <c r="D28" s="44">
        <f t="shared" si="0"/>
        <v>6.0438881941537361E-8</v>
      </c>
      <c r="E28" s="44">
        <f t="shared" si="0"/>
        <v>7.471839800464786E-10</v>
      </c>
      <c r="F28" s="44">
        <f t="shared" si="0"/>
        <v>7.471839800464786E-10</v>
      </c>
      <c r="H28" s="44">
        <f t="shared" si="1"/>
        <v>6.3632422048031036E-37</v>
      </c>
      <c r="J28" s="44">
        <f t="shared" si="2"/>
        <v>-83.345110412692236</v>
      </c>
    </row>
    <row r="29" spans="1:10">
      <c r="A29" s="44">
        <f t="shared" si="3"/>
        <v>1.6000000000000003</v>
      </c>
      <c r="B29" s="44">
        <f t="shared" si="0"/>
        <v>6.1173823066195547E-6</v>
      </c>
      <c r="C29" s="44">
        <f t="shared" si="0"/>
        <v>6.1173823066195547E-6</v>
      </c>
      <c r="D29" s="44">
        <f t="shared" si="0"/>
        <v>1.1864014170413685E-7</v>
      </c>
      <c r="E29" s="44">
        <f t="shared" si="0"/>
        <v>1.6687844107834642E-9</v>
      </c>
      <c r="F29" s="44">
        <f t="shared" si="0"/>
        <v>1.6687844107834642E-9</v>
      </c>
      <c r="H29" s="44">
        <f t="shared" si="1"/>
        <v>1.9782599228952981E-35</v>
      </c>
      <c r="J29" s="44">
        <f t="shared" si="2"/>
        <v>-79.908260623300407</v>
      </c>
    </row>
    <row r="30" spans="1:10">
      <c r="A30" s="44">
        <f t="shared" si="3"/>
        <v>1.7000000000000004</v>
      </c>
      <c r="B30" s="44">
        <f t="shared" si="0"/>
        <v>1.0149053962820824E-5</v>
      </c>
      <c r="C30" s="44">
        <f t="shared" si="0"/>
        <v>1.0149053962820824E-5</v>
      </c>
      <c r="D30" s="44">
        <f t="shared" si="0"/>
        <v>2.2220277236781968E-7</v>
      </c>
      <c r="E30" s="44">
        <f t="shared" si="0"/>
        <v>3.5283846821043912E-9</v>
      </c>
      <c r="F30" s="44">
        <f t="shared" si="0"/>
        <v>3.5283846821043912E-9</v>
      </c>
      <c r="H30" s="44">
        <f t="shared" si="1"/>
        <v>4.8439692097390593E-34</v>
      </c>
      <c r="J30" s="44">
        <f t="shared" si="2"/>
        <v>-76.71015869249787</v>
      </c>
    </row>
    <row r="31" spans="1:10">
      <c r="A31" s="44">
        <f t="shared" si="3"/>
        <v>1.8000000000000005</v>
      </c>
      <c r="B31" s="44">
        <f t="shared" si="0"/>
        <v>1.6264171709451049E-5</v>
      </c>
      <c r="C31" s="44">
        <f t="shared" si="0"/>
        <v>1.6264171709451049E-5</v>
      </c>
      <c r="D31" s="44">
        <f t="shared" si="0"/>
        <v>3.9921148741379871E-7</v>
      </c>
      <c r="E31" s="44">
        <f t="shared" si="0"/>
        <v>7.1068418638500446E-9</v>
      </c>
      <c r="F31" s="44">
        <f t="shared" si="0"/>
        <v>7.1068418638500446E-9</v>
      </c>
      <c r="H31" s="44">
        <f t="shared" si="1"/>
        <v>9.6004754236314774E-33</v>
      </c>
      <c r="J31" s="44">
        <f t="shared" si="2"/>
        <v>-73.723495448261005</v>
      </c>
    </row>
    <row r="32" spans="1:10">
      <c r="A32" s="44">
        <f t="shared" si="3"/>
        <v>1.9000000000000006</v>
      </c>
      <c r="B32" s="44">
        <f t="shared" si="0"/>
        <v>2.5270478244647992E-5</v>
      </c>
      <c r="C32" s="44">
        <f t="shared" si="0"/>
        <v>2.5270478244647992E-5</v>
      </c>
      <c r="D32" s="44">
        <f t="shared" si="0"/>
        <v>6.9110929138772199E-7</v>
      </c>
      <c r="E32" s="44">
        <f t="shared" si="0"/>
        <v>1.3708266713789437E-8</v>
      </c>
      <c r="F32" s="44">
        <f t="shared" si="0"/>
        <v>1.3708266713789437E-8</v>
      </c>
      <c r="H32" s="44">
        <f t="shared" si="1"/>
        <v>1.5757682514351615E-31</v>
      </c>
      <c r="J32" s="44">
        <f t="shared" si="2"/>
        <v>-70.925394950774177</v>
      </c>
    </row>
    <row r="33" spans="1:10">
      <c r="A33" s="44">
        <f t="shared" si="3"/>
        <v>2.0000000000000004</v>
      </c>
      <c r="B33" s="44">
        <f t="shared" si="0"/>
        <v>3.8189850648779663E-5</v>
      </c>
      <c r="C33" s="44">
        <f t="shared" si="0"/>
        <v>3.8189850648779663E-5</v>
      </c>
      <c r="D33" s="44">
        <f t="shared" si="0"/>
        <v>1.157268201478172E-6</v>
      </c>
      <c r="E33" s="44">
        <f t="shared" si="0"/>
        <v>2.5434465966553241E-8</v>
      </c>
      <c r="F33" s="44">
        <f t="shared" si="0"/>
        <v>2.5434465966553241E-8</v>
      </c>
      <c r="H33" s="44">
        <f t="shared" si="1"/>
        <v>2.1837613865861841E-30</v>
      </c>
      <c r="J33" s="44">
        <f t="shared" si="2"/>
        <v>-68.296503993133598</v>
      </c>
    </row>
    <row r="34" spans="1:10">
      <c r="A34" s="44">
        <f t="shared" si="3"/>
        <v>2.1000000000000005</v>
      </c>
      <c r="B34" s="44">
        <f t="shared" si="0"/>
        <v>5.6287440704236998E-5</v>
      </c>
      <c r="C34" s="44">
        <f t="shared" si="0"/>
        <v>5.6287440704236998E-5</v>
      </c>
      <c r="D34" s="44">
        <f t="shared" si="0"/>
        <v>1.8805122235279188E-6</v>
      </c>
      <c r="E34" s="44">
        <f t="shared" si="0"/>
        <v>4.5566257723945738E-8</v>
      </c>
      <c r="F34" s="44">
        <f t="shared" si="0"/>
        <v>4.5566257723945738E-8</v>
      </c>
      <c r="H34" s="44">
        <f t="shared" si="1"/>
        <v>2.5977968437737012E-29</v>
      </c>
      <c r="J34" s="44">
        <f t="shared" si="2"/>
        <v>-65.82030397879825</v>
      </c>
    </row>
    <row r="35" spans="1:10">
      <c r="A35" s="44">
        <f t="shared" si="3"/>
        <v>2.2000000000000006</v>
      </c>
      <c r="B35" s="44">
        <f t="shared" si="0"/>
        <v>8.1099077688203259E-5</v>
      </c>
      <c r="C35" s="44">
        <f t="shared" si="0"/>
        <v>8.1099077688203259E-5</v>
      </c>
      <c r="D35" s="44">
        <f t="shared" si="0"/>
        <v>2.9736328485674544E-6</v>
      </c>
      <c r="E35" s="44">
        <f t="shared" si="0"/>
        <v>7.9079027401464217E-8</v>
      </c>
      <c r="F35" s="44">
        <f t="shared" si="0"/>
        <v>7.9079027401464217E-8</v>
      </c>
      <c r="H35" s="44">
        <f t="shared" si="1"/>
        <v>2.6906951458566275E-28</v>
      </c>
      <c r="J35" s="44">
        <f t="shared" si="2"/>
        <v>-63.482583025069786</v>
      </c>
    </row>
    <row r="36" spans="1:10">
      <c r="A36" s="44">
        <f t="shared" si="3"/>
        <v>2.3000000000000007</v>
      </c>
      <c r="B36" s="44">
        <f t="shared" si="0"/>
        <v>1.1445585630925435E-4</v>
      </c>
      <c r="C36" s="44">
        <f t="shared" si="0"/>
        <v>1.1445585630925435E-4</v>
      </c>
      <c r="D36" s="44">
        <f t="shared" si="0"/>
        <v>4.5869051505754237E-6</v>
      </c>
      <c r="E36" s="44">
        <f t="shared" si="0"/>
        <v>1.3332268267331874E-7</v>
      </c>
      <c r="F36" s="44">
        <f t="shared" si="0"/>
        <v>1.3332268267331874E-7</v>
      </c>
      <c r="H36" s="44">
        <f t="shared" si="1"/>
        <v>2.4565845786619601E-27</v>
      </c>
      <c r="J36" s="44">
        <f t="shared" si="2"/>
        <v>-61.271025508248918</v>
      </c>
    </row>
    <row r="37" spans="1:10">
      <c r="A37" s="44">
        <f t="shared" si="3"/>
        <v>2.4000000000000008</v>
      </c>
      <c r="B37" s="44">
        <f t="shared" si="0"/>
        <v>1.5850487634501276E-4</v>
      </c>
      <c r="C37" s="44">
        <f t="shared" si="0"/>
        <v>1.5850487634501276E-4</v>
      </c>
      <c r="D37" s="44">
        <f t="shared" si="0"/>
        <v>6.9165764223278333E-6</v>
      </c>
      <c r="E37" s="44">
        <f t="shared" si="0"/>
        <v>2.1889824281652937E-7</v>
      </c>
      <c r="F37" s="44">
        <f t="shared" si="0"/>
        <v>2.1889824281652937E-7</v>
      </c>
      <c r="H37" s="44">
        <f t="shared" si="1"/>
        <v>1.9983530956117407E-26</v>
      </c>
      <c r="J37" s="44">
        <f t="shared" si="2"/>
        <v>-59.174889028702367</v>
      </c>
    </row>
    <row r="38" spans="1:10">
      <c r="A38" s="44">
        <f t="shared" si="3"/>
        <v>2.5000000000000009</v>
      </c>
      <c r="B38" s="44">
        <f t="shared" si="0"/>
        <v>2.1572518449585227E-4</v>
      </c>
      <c r="C38" s="44">
        <f t="shared" si="0"/>
        <v>2.1572518449585227E-4</v>
      </c>
      <c r="D38" s="44">
        <f t="shared" si="0"/>
        <v>1.0214260629538466E-5</v>
      </c>
      <c r="E38" s="44">
        <f t="shared" si="0"/>
        <v>3.5076444469568936E-7</v>
      </c>
      <c r="F38" s="44">
        <f t="shared" si="0"/>
        <v>3.5076444469568936E-7</v>
      </c>
      <c r="H38" s="44">
        <f t="shared" si="1"/>
        <v>1.4621090700822658E-25</v>
      </c>
      <c r="J38" s="44">
        <f t="shared" si="2"/>
        <v>-57.184747362966803</v>
      </c>
    </row>
    <row r="39" spans="1:10">
      <c r="A39" s="44">
        <f t="shared" si="3"/>
        <v>2.600000000000001</v>
      </c>
      <c r="B39" s="44">
        <f t="shared" si="0"/>
        <v>2.8893808753035176E-4</v>
      </c>
      <c r="C39" s="44">
        <f t="shared" si="0"/>
        <v>2.8893808753035176E-4</v>
      </c>
      <c r="D39" s="44">
        <f t="shared" si="0"/>
        <v>1.4797132361402879E-5</v>
      </c>
      <c r="E39" s="44">
        <f t="shared" si="0"/>
        <v>5.4960777342353588E-7</v>
      </c>
      <c r="F39" s="44">
        <f t="shared" si="0"/>
        <v>5.4960777342353588E-7</v>
      </c>
      <c r="H39" s="44">
        <f t="shared" si="1"/>
        <v>9.7021107432521622E-25</v>
      </c>
      <c r="J39" s="44">
        <f t="shared" si="2"/>
        <v>-55.292283860616642</v>
      </c>
    </row>
    <row r="40" spans="1:10">
      <c r="A40" s="44">
        <f t="shared" si="3"/>
        <v>2.7000000000000011</v>
      </c>
      <c r="B40" s="44">
        <f t="shared" si="0"/>
        <v>3.8131115247432956E-4</v>
      </c>
      <c r="C40" s="44">
        <f t="shared" si="0"/>
        <v>3.8131115247432956E-4</v>
      </c>
      <c r="D40" s="44">
        <f t="shared" si="0"/>
        <v>2.1058775011650488E-5</v>
      </c>
      <c r="E40" s="44">
        <f t="shared" si="0"/>
        <v>8.435080760161108E-7</v>
      </c>
      <c r="F40" s="44">
        <f t="shared" si="0"/>
        <v>8.435080760161108E-7</v>
      </c>
      <c r="H40" s="44">
        <f t="shared" si="1"/>
        <v>5.8821266882468545E-24</v>
      </c>
      <c r="J40" s="44">
        <f t="shared" si="2"/>
        <v>-53.490123853662979</v>
      </c>
    </row>
    <row r="41" spans="1:10">
      <c r="A41" s="44">
        <f t="shared" si="3"/>
        <v>2.8000000000000012</v>
      </c>
      <c r="B41" s="44">
        <f t="shared" si="0"/>
        <v>4.9635537731855864E-4</v>
      </c>
      <c r="C41" s="44">
        <f t="shared" si="0"/>
        <v>4.9635537731855864E-4</v>
      </c>
      <c r="D41" s="44">
        <f t="shared" si="0"/>
        <v>2.9480501198314421E-5</v>
      </c>
      <c r="E41" s="44">
        <f t="shared" si="0"/>
        <v>1.2699292823889298E-6</v>
      </c>
      <c r="F41" s="44">
        <f t="shared" si="0"/>
        <v>1.2699292823889298E-6</v>
      </c>
      <c r="H41" s="44">
        <f t="shared" si="1"/>
        <v>3.2797250072340766E-23</v>
      </c>
      <c r="J41" s="44">
        <f t="shared" si="2"/>
        <v>-51.771697559239605</v>
      </c>
    </row>
    <row r="42" spans="1:10">
      <c r="A42" s="44">
        <f t="shared" si="3"/>
        <v>2.9000000000000012</v>
      </c>
      <c r="B42" s="44">
        <f t="shared" si="0"/>
        <v>6.3791519723322559E-4</v>
      </c>
      <c r="C42" s="44">
        <f t="shared" si="0"/>
        <v>6.3791519723322559E-4</v>
      </c>
      <c r="D42" s="44">
        <f t="shared" si="0"/>
        <v>4.0642930369177513E-5</v>
      </c>
      <c r="E42" s="44">
        <f t="shared" si="0"/>
        <v>1.8780606835427646E-6</v>
      </c>
      <c r="F42" s="44">
        <f t="shared" si="0"/>
        <v>1.8780606835427646E-6</v>
      </c>
      <c r="H42" s="44">
        <f t="shared" si="1"/>
        <v>1.6917187012002419E-22</v>
      </c>
      <c r="J42" s="44">
        <f t="shared" si="2"/>
        <v>-50.131127050752127</v>
      </c>
    </row>
    <row r="43" spans="1:10">
      <c r="A43" s="44">
        <f t="shared" si="3"/>
        <v>3.0000000000000013</v>
      </c>
      <c r="B43" s="44">
        <f t="shared" si="0"/>
        <v>8.1015117946814526E-4</v>
      </c>
      <c r="C43" s="44">
        <f t="shared" si="0"/>
        <v>8.1015117946814526E-4</v>
      </c>
      <c r="D43" s="44">
        <f t="shared" si="0"/>
        <v>5.5237580418282684E-5</v>
      </c>
      <c r="E43" s="44">
        <f t="shared" si="0"/>
        <v>2.7315287020029915E-6</v>
      </c>
      <c r="F43" s="44">
        <f t="shared" si="0"/>
        <v>2.7315287020029915E-6</v>
      </c>
      <c r="H43" s="44">
        <f t="shared" si="1"/>
        <v>8.1152064998945511E-22</v>
      </c>
      <c r="J43" s="44">
        <f t="shared" si="2"/>
        <v>-48.563132398535572</v>
      </c>
    </row>
    <row r="44" spans="1:10">
      <c r="A44" s="44">
        <f t="shared" si="3"/>
        <v>3.1000000000000014</v>
      </c>
      <c r="B44" s="44">
        <f t="shared" si="0"/>
        <v>1.0175154482937416E-3</v>
      </c>
      <c r="C44" s="44">
        <f t="shared" si="0"/>
        <v>1.0175154482937416E-3</v>
      </c>
      <c r="D44" s="44">
        <f t="shared" si="0"/>
        <v>7.4078208015930793E-5</v>
      </c>
      <c r="E44" s="44">
        <f t="shared" si="0"/>
        <v>3.9114921924895361E-6</v>
      </c>
      <c r="F44" s="44">
        <f t="shared" si="0"/>
        <v>3.9114921924895361E-6</v>
      </c>
      <c r="H44" s="44">
        <f t="shared" si="1"/>
        <v>3.637635004841133E-21</v>
      </c>
      <c r="J44" s="44">
        <f t="shared" si="2"/>
        <v>-47.062953206333127</v>
      </c>
    </row>
    <row r="45" spans="1:10">
      <c r="A45" s="44">
        <f t="shared" si="3"/>
        <v>3.2000000000000015</v>
      </c>
      <c r="B45" s="44">
        <f t="shared" si="0"/>
        <v>1.2647200634353698E-3</v>
      </c>
      <c r="C45" s="44">
        <f t="shared" si="0"/>
        <v>1.2647200634353698E-3</v>
      </c>
      <c r="D45" s="44">
        <f t="shared" si="0"/>
        <v>9.8111617042259081E-5</v>
      </c>
      <c r="E45" s="44">
        <f t="shared" si="0"/>
        <v>5.5201261456743621E-6</v>
      </c>
      <c r="F45" s="44">
        <f t="shared" si="0"/>
        <v>5.5201261456743621E-6</v>
      </c>
      <c r="H45" s="44">
        <f t="shared" si="1"/>
        <v>1.530231836022162E-20</v>
      </c>
      <c r="J45" s="44">
        <f t="shared" si="2"/>
        <v>-45.626282609143729</v>
      </c>
    </row>
    <row r="46" spans="1:10">
      <c r="A46" s="44">
        <f t="shared" si="3"/>
        <v>3.3000000000000016</v>
      </c>
      <c r="B46" s="44">
        <f t="shared" si="0"/>
        <v>1.5566987461896541E-3</v>
      </c>
      <c r="C46" s="44">
        <f t="shared" si="0"/>
        <v>1.5566987461896541E-3</v>
      </c>
      <c r="D46" s="44">
        <f t="shared" si="0"/>
        <v>1.284276465606466E-4</v>
      </c>
      <c r="E46" s="44">
        <f t="shared" si="0"/>
        <v>7.6844894013485869E-6</v>
      </c>
      <c r="F46" s="44">
        <f t="shared" si="0"/>
        <v>7.6844894013485869E-6</v>
      </c>
      <c r="H46" s="44">
        <f t="shared" si="1"/>
        <v>6.0647324606357849E-20</v>
      </c>
      <c r="J46" s="44">
        <f t="shared" si="2"/>
        <v>-44.249211430471746</v>
      </c>
    </row>
    <row r="47" spans="1:10">
      <c r="A47" s="44">
        <f t="shared" si="3"/>
        <v>3.4000000000000017</v>
      </c>
      <c r="B47" s="44">
        <f t="shared" si="0"/>
        <v>1.8985625023789892E-3</v>
      </c>
      <c r="C47" s="44">
        <f t="shared" si="0"/>
        <v>1.8985625023789892E-3</v>
      </c>
      <c r="D47" s="44">
        <f t="shared" si="0"/>
        <v>1.662680494507662E-4</v>
      </c>
      <c r="E47" s="44">
        <f t="shared" si="0"/>
        <v>1.0560761822257468E-5</v>
      </c>
      <c r="F47" s="44">
        <f t="shared" si="0"/>
        <v>1.0560761822257468E-5</v>
      </c>
      <c r="H47" s="44">
        <f t="shared" si="1"/>
        <v>2.2726262215098304E-19</v>
      </c>
      <c r="J47" s="44">
        <f t="shared" si="2"/>
        <v>-42.928180678341199</v>
      </c>
    </row>
    <row r="48" spans="1:10">
      <c r="A48" s="44">
        <f t="shared" si="3"/>
        <v>3.5000000000000018</v>
      </c>
      <c r="B48" s="44">
        <f t="shared" si="0"/>
        <v>2.2955498270153664E-3</v>
      </c>
      <c r="C48" s="44">
        <f t="shared" si="0"/>
        <v>2.2955498270153664E-3</v>
      </c>
      <c r="D48" s="44">
        <f t="shared" si="0"/>
        <v>2.1303398015862319E-4</v>
      </c>
      <c r="E48" s="44">
        <f t="shared" si="0"/>
        <v>1.4338825587599655E-5</v>
      </c>
      <c r="F48" s="44">
        <f t="shared" si="0"/>
        <v>1.4338825587599655E-5</v>
      </c>
      <c r="H48" s="44">
        <f t="shared" si="1"/>
        <v>8.0782546280081914E-19</v>
      </c>
      <c r="J48" s="44">
        <f t="shared" si="2"/>
        <v>-41.65994092907281</v>
      </c>
    </row>
    <row r="49" spans="1:10">
      <c r="A49" s="44">
        <f t="shared" si="3"/>
        <v>3.6000000000000019</v>
      </c>
      <c r="B49" s="44">
        <f t="shared" si="0"/>
        <v>2.752972289451257E-3</v>
      </c>
      <c r="C49" s="44">
        <f t="shared" si="0"/>
        <v>2.752972289451257E-3</v>
      </c>
      <c r="D49" s="44">
        <f t="shared" si="0"/>
        <v>2.7029182478248729E-4</v>
      </c>
      <c r="E49" s="44">
        <f t="shared" si="0"/>
        <v>1.9247154116379337E-5</v>
      </c>
      <c r="F49" s="44">
        <f t="shared" si="0"/>
        <v>1.9247154116379337E-5</v>
      </c>
      <c r="H49" s="44">
        <f t="shared" si="1"/>
        <v>2.7319461748846375E-18</v>
      </c>
      <c r="J49" s="44">
        <f t="shared" si="2"/>
        <v>-40.441517434104334</v>
      </c>
    </row>
    <row r="50" spans="1:10">
      <c r="A50" s="44">
        <f t="shared" si="3"/>
        <v>3.700000000000002</v>
      </c>
      <c r="B50" s="44">
        <f t="shared" si="0"/>
        <v>3.2761563882366999E-3</v>
      </c>
      <c r="C50" s="44">
        <f t="shared" si="0"/>
        <v>3.2761563882366999E-3</v>
      </c>
      <c r="D50" s="44">
        <f t="shared" si="0"/>
        <v>3.3977712844667022E-4</v>
      </c>
      <c r="E50" s="44">
        <f t="shared" si="0"/>
        <v>2.5557960925466588E-5</v>
      </c>
      <c r="F50" s="44">
        <f t="shared" si="0"/>
        <v>2.5557960925466588E-5</v>
      </c>
      <c r="H50" s="44">
        <f t="shared" si="1"/>
        <v>8.8140907744755554E-18</v>
      </c>
      <c r="J50" s="44">
        <f t="shared" si="2"/>
        <v>-39.270180008629353</v>
      </c>
    </row>
    <row r="51" spans="1:10">
      <c r="A51" s="44">
        <f t="shared" si="3"/>
        <v>3.800000000000002</v>
      </c>
      <c r="B51" s="44">
        <f t="shared" si="0"/>
        <v>3.8703826310631838E-3</v>
      </c>
      <c r="C51" s="44">
        <f t="shared" si="0"/>
        <v>3.8703826310631838E-3</v>
      </c>
      <c r="D51" s="44">
        <f t="shared" si="0"/>
        <v>4.2339640297388211E-4</v>
      </c>
      <c r="E51" s="44">
        <f t="shared" si="0"/>
        <v>3.3592549774411346E-5</v>
      </c>
      <c r="F51" s="44">
        <f t="shared" si="0"/>
        <v>3.3592549774411346E-5</v>
      </c>
      <c r="H51" s="44">
        <f t="shared" si="1"/>
        <v>2.7197219322220505E-17</v>
      </c>
      <c r="J51" s="44">
        <f t="shared" si="2"/>
        <v>-38.143416936617513</v>
      </c>
    </row>
    <row r="52" spans="1:10">
      <c r="A52" s="44">
        <f t="shared" si="3"/>
        <v>3.9000000000000021</v>
      </c>
      <c r="B52" s="44">
        <f t="shared" si="0"/>
        <v>4.54082283700772E-3</v>
      </c>
      <c r="C52" s="44">
        <f t="shared" si="0"/>
        <v>4.54082283700772E-3</v>
      </c>
      <c r="D52" s="44">
        <f t="shared" si="0"/>
        <v>5.232266314461173E-4</v>
      </c>
      <c r="E52" s="44">
        <f t="shared" si="0"/>
        <v>4.3726797056568426E-5</v>
      </c>
      <c r="F52" s="44">
        <f t="shared" si="0"/>
        <v>4.3726797056568426E-5</v>
      </c>
      <c r="H52" s="44">
        <f t="shared" si="1"/>
        <v>8.0448675356267159E-17</v>
      </c>
      <c r="J52" s="44">
        <f t="shared" si="2"/>
        <v>-37.058912266018609</v>
      </c>
    </row>
    <row r="53" spans="1:10">
      <c r="A53" s="44">
        <f t="shared" si="3"/>
        <v>4.0000000000000018</v>
      </c>
      <c r="B53" s="44">
        <f t="shared" si="0"/>
        <v>5.2924766764201334E-3</v>
      </c>
      <c r="C53" s="44">
        <f t="shared" si="0"/>
        <v>5.2924766764201334E-3</v>
      </c>
      <c r="D53" s="44">
        <f t="shared" si="0"/>
        <v>6.4151232441456228E-4</v>
      </c>
      <c r="E53" s="44">
        <f t="shared" si="0"/>
        <v>5.6396687860620914E-5</v>
      </c>
      <c r="F53" s="44">
        <f t="shared" si="0"/>
        <v>5.6396687860620914E-5</v>
      </c>
      <c r="H53" s="44">
        <f t="shared" si="1"/>
        <v>2.2860730241334563E-16</v>
      </c>
      <c r="J53" s="44">
        <f t="shared" si="2"/>
        <v>-36.014525978976934</v>
      </c>
    </row>
    <row r="54" spans="1:10">
      <c r="A54" s="44">
        <f t="shared" si="3"/>
        <v>4.1000000000000014</v>
      </c>
      <c r="B54" s="44">
        <f t="shared" si="0"/>
        <v>6.1301084594241858E-3</v>
      </c>
      <c r="C54" s="44">
        <f t="shared" si="0"/>
        <v>6.1301084594241858E-3</v>
      </c>
      <c r="D54" s="44">
        <f t="shared" si="0"/>
        <v>7.8066002426455041E-4</v>
      </c>
      <c r="E54" s="44">
        <f t="shared" si="0"/>
        <v>7.2103818724654394E-5</v>
      </c>
      <c r="F54" s="44">
        <f t="shared" si="0"/>
        <v>7.2103818724654394E-5</v>
      </c>
      <c r="H54" s="44">
        <f t="shared" si="1"/>
        <v>6.2531471245364608E-16</v>
      </c>
      <c r="J54" s="44">
        <f t="shared" si="2"/>
        <v>-35.008276610964273</v>
      </c>
    </row>
    <row r="55" spans="1:10">
      <c r="A55" s="44">
        <f t="shared" si="3"/>
        <v>4.2000000000000011</v>
      </c>
      <c r="B55" s="44">
        <f t="shared" si="0"/>
        <v>7.058185158801784E-3</v>
      </c>
      <c r="C55" s="44">
        <f t="shared" si="0"/>
        <v>7.058185158801784E-3</v>
      </c>
      <c r="D55" s="44">
        <f t="shared" si="0"/>
        <v>9.4323019849442075E-4</v>
      </c>
      <c r="E55" s="44">
        <f t="shared" si="0"/>
        <v>9.1420773084843892E-5</v>
      </c>
      <c r="F55" s="44">
        <f t="shared" si="0"/>
        <v>9.1420773084843892E-5</v>
      </c>
      <c r="H55" s="44">
        <f t="shared" si="1"/>
        <v>1.6494640719432739E-15</v>
      </c>
      <c r="J55" s="44">
        <f t="shared" si="2"/>
        <v>-34.038325964641594</v>
      </c>
    </row>
    <row r="56" spans="1:10">
      <c r="A56" s="44">
        <f t="shared" si="3"/>
        <v>4.3000000000000007</v>
      </c>
      <c r="B56" s="44">
        <f t="shared" si="0"/>
        <v>8.0808166090425015E-3</v>
      </c>
      <c r="C56" s="44">
        <f t="shared" si="0"/>
        <v>8.0808166090425015E-3</v>
      </c>
      <c r="D56" s="44">
        <f t="shared" si="0"/>
        <v>1.1319265083423928E-3</v>
      </c>
      <c r="E56" s="44">
        <f t="shared" si="0"/>
        <v>1.149962699958838E-4</v>
      </c>
      <c r="F56" s="44">
        <f t="shared" si="0"/>
        <v>1.149962699958838E-4</v>
      </c>
      <c r="H56" s="44">
        <f t="shared" si="1"/>
        <v>4.2030513452878262E-15</v>
      </c>
      <c r="J56" s="44">
        <f t="shared" si="2"/>
        <v>-33.102965622619756</v>
      </c>
    </row>
    <row r="57" spans="1:10">
      <c r="A57" s="44">
        <f t="shared" si="3"/>
        <v>4.4000000000000004</v>
      </c>
      <c r="B57" s="44">
        <f t="shared" si="0"/>
        <v>9.201698762880196E-3</v>
      </c>
      <c r="C57" s="44">
        <f t="shared" si="0"/>
        <v>9.201698762880196E-3</v>
      </c>
      <c r="D57" s="44">
        <f t="shared" si="0"/>
        <v>1.3495824852224286E-3</v>
      </c>
      <c r="E57" s="44">
        <f t="shared" si="0"/>
        <v>1.4355998304344081E-4</v>
      </c>
      <c r="F57" s="44">
        <f t="shared" si="0"/>
        <v>1.4355998304344081E-4</v>
      </c>
      <c r="H57" s="44">
        <f t="shared" si="1"/>
        <v>1.0362270613432152E-14</v>
      </c>
      <c r="J57" s="44">
        <f t="shared" si="2"/>
        <v>-32.200605010913137</v>
      </c>
    </row>
    <row r="58" spans="1:10">
      <c r="A58" s="44">
        <f t="shared" si="3"/>
        <v>4.5</v>
      </c>
      <c r="B58" s="44">
        <f t="shared" si="0"/>
        <v>1.042406081219662E-2</v>
      </c>
      <c r="C58" s="44">
        <f t="shared" si="0"/>
        <v>1.042406081219662E-2</v>
      </c>
      <c r="D58" s="44">
        <f t="shared" si="0"/>
        <v>1.5991456927801633E-3</v>
      </c>
      <c r="E58" s="44">
        <f t="shared" si="0"/>
        <v>1.7792692460878189E-4</v>
      </c>
      <c r="F58" s="44">
        <f t="shared" si="0"/>
        <v>1.7792692460878189E-4</v>
      </c>
      <c r="H58" s="44">
        <f t="shared" si="1"/>
        <v>2.4754705470716426E-14</v>
      </c>
      <c r="J58" s="44">
        <f t="shared" si="2"/>
        <v>-31.32976080393756</v>
      </c>
    </row>
    <row r="59" spans="1:10">
      <c r="A59" s="44">
        <f t="shared" si="3"/>
        <v>4.5999999999999996</v>
      </c>
      <c r="B59" s="44">
        <f t="shared" si="0"/>
        <v>1.1750616894330039E-2</v>
      </c>
      <c r="C59" s="44">
        <f t="shared" si="0"/>
        <v>1.1750616894330039E-2</v>
      </c>
      <c r="D59" s="44">
        <f t="shared" si="0"/>
        <v>1.8836594960910875E-3</v>
      </c>
      <c r="E59" s="44">
        <f t="shared" si="0"/>
        <v>2.1900129086421655E-4</v>
      </c>
      <c r="F59" s="44">
        <f t="shared" si="0"/>
        <v>2.1900129086421655E-4</v>
      </c>
      <c r="H59" s="44">
        <f t="shared" si="1"/>
        <v>5.7381898750831641E-14</v>
      </c>
      <c r="J59" s="44">
        <f t="shared" si="2"/>
        <v>-30.489047494092276</v>
      </c>
    </row>
    <row r="60" spans="1:10">
      <c r="A60" s="44">
        <f t="shared" si="3"/>
        <v>4.6999999999999993</v>
      </c>
      <c r="B60" s="44">
        <f t="shared" si="0"/>
        <v>1.3183523010185596E-2</v>
      </c>
      <c r="C60" s="44">
        <f t="shared" si="0"/>
        <v>1.3183523010185596E-2</v>
      </c>
      <c r="D60" s="44">
        <f t="shared" si="0"/>
        <v>2.2062426007196947E-3</v>
      </c>
      <c r="E60" s="44">
        <f t="shared" si="0"/>
        <v>2.6777966510932991E-4</v>
      </c>
      <c r="F60" s="44">
        <f t="shared" si="0"/>
        <v>2.6777966510932991E-4</v>
      </c>
      <c r="H60" s="44">
        <f t="shared" si="1"/>
        <v>1.2923176487515714E-13</v>
      </c>
      <c r="J60" s="44">
        <f t="shared" si="2"/>
        <v>-29.677168975613498</v>
      </c>
    </row>
    <row r="61" spans="1:10">
      <c r="A61" s="44">
        <f t="shared" si="3"/>
        <v>4.7999999999999989</v>
      </c>
      <c r="B61" s="44">
        <f t="shared" si="0"/>
        <v>1.4724339679652773E-2</v>
      </c>
      <c r="C61" s="44">
        <f t="shared" si="0"/>
        <v>1.4724339679652773E-2</v>
      </c>
      <c r="D61" s="44">
        <f t="shared" si="0"/>
        <v>2.5700665622666648E-3</v>
      </c>
      <c r="E61" s="44">
        <f t="shared" si="0"/>
        <v>3.2535348128914245E-4</v>
      </c>
      <c r="F61" s="44">
        <f t="shared" si="0"/>
        <v>3.2535348128914245E-4</v>
      </c>
      <c r="H61" s="44">
        <f t="shared" si="1"/>
        <v>2.8311845539428567E-13</v>
      </c>
      <c r="J61" s="44">
        <f t="shared" si="2"/>
        <v>-28.892911014545728</v>
      </c>
    </row>
    <row r="62" spans="1:10">
      <c r="A62" s="44">
        <f t="shared" si="3"/>
        <v>4.8999999999999986</v>
      </c>
      <c r="B62" s="44">
        <f t="shared" si="0"/>
        <v>1.6374000755138989E-2</v>
      </c>
      <c r="C62" s="44">
        <f t="shared" si="0"/>
        <v>1.6374000755138989E-2</v>
      </c>
      <c r="D62" s="44">
        <f t="shared" si="0"/>
        <v>2.9783315009915675E-3</v>
      </c>
      <c r="E62" s="44">
        <f t="shared" si="0"/>
        <v>3.9291065570773356E-4</v>
      </c>
      <c r="F62" s="44">
        <f t="shared" si="0"/>
        <v>3.9291065570773356E-4</v>
      </c>
      <c r="H62" s="44">
        <f t="shared" si="1"/>
        <v>6.040408932696574E-13</v>
      </c>
      <c r="J62" s="44">
        <f t="shared" si="2"/>
        <v>-28.135134495178853</v>
      </c>
    </row>
    <row r="63" spans="1:10">
      <c r="A63" s="44">
        <f t="shared" si="3"/>
        <v>4.9999999999999982</v>
      </c>
      <c r="B63" s="44">
        <f t="shared" si="0"/>
        <v>1.813278870782184E-2</v>
      </c>
      <c r="C63" s="44">
        <f t="shared" si="0"/>
        <v>1.813278870782184E-2</v>
      </c>
      <c r="D63" s="44">
        <f t="shared" si="0"/>
        <v>3.4342402855723152E-3</v>
      </c>
      <c r="E63" s="44">
        <f t="shared" si="0"/>
        <v>4.7173630296322981E-4</v>
      </c>
      <c r="F63" s="44">
        <f t="shared" si="0"/>
        <v>4.7173630296322981E-4</v>
      </c>
      <c r="H63" s="44">
        <f t="shared" si="1"/>
        <v>1.2564016062280467E-12</v>
      </c>
      <c r="J63" s="44">
        <f t="shared" si="2"/>
        <v>-27.402769348810171</v>
      </c>
    </row>
    <row r="64" spans="1:10">
      <c r="A64" s="44">
        <f t="shared" si="3"/>
        <v>5.0999999999999979</v>
      </c>
      <c r="B64" s="44">
        <f t="shared" si="0"/>
        <v>2.0000316595614378E-2</v>
      </c>
      <c r="C64" s="44">
        <f t="shared" si="0"/>
        <v>2.0000316595614378E-2</v>
      </c>
      <c r="D64" s="44">
        <f t="shared" si="0"/>
        <v>3.9409714746358303E-3</v>
      </c>
      <c r="E64" s="44">
        <f t="shared" si="0"/>
        <v>5.6321246184218602E-4</v>
      </c>
      <c r="F64" s="44">
        <f t="shared" si="0"/>
        <v>5.6321246184218602E-4</v>
      </c>
      <c r="H64" s="44">
        <f t="shared" si="1"/>
        <v>2.550302634145155E-12</v>
      </c>
      <c r="J64" s="44">
        <f t="shared" si="2"/>
        <v>-26.694809083743209</v>
      </c>
    </row>
    <row r="65" spans="1:10">
      <c r="A65" s="44">
        <f t="shared" si="3"/>
        <v>5.1999999999999975</v>
      </c>
      <c r="B65" s="44">
        <f t="shared" ref="B65:F116" si="4">(($A65^B$12)*(EXP(-$A65)))/(FACT(B$12))</f>
        <v>2.1975516818724377E-2</v>
      </c>
      <c r="C65" s="44">
        <f t="shared" si="4"/>
        <v>2.1975516818724377E-2</v>
      </c>
      <c r="D65" s="44">
        <f t="shared" si="4"/>
        <v>4.501651324078081E-3</v>
      </c>
      <c r="E65" s="44">
        <f t="shared" si="4"/>
        <v>6.6881676814874278E-4</v>
      </c>
      <c r="F65" s="44">
        <f t="shared" si="4"/>
        <v>6.6881676814874278E-4</v>
      </c>
      <c r="H65" s="44">
        <f t="shared" si="1"/>
        <v>5.0567059307041097E-12</v>
      </c>
      <c r="J65" s="44">
        <f t="shared" si="2"/>
        <v>-26.010305846460014</v>
      </c>
    </row>
    <row r="66" spans="1:10">
      <c r="A66" s="44">
        <f t="shared" si="3"/>
        <v>5.2999999999999972</v>
      </c>
      <c r="B66" s="44">
        <f t="shared" si="4"/>
        <v>2.4056636669737487E-2</v>
      </c>
      <c r="C66" s="44">
        <f t="shared" si="4"/>
        <v>2.4056636669737487E-2</v>
      </c>
      <c r="D66" s="44">
        <f t="shared" si="4"/>
        <v>5.1193251822191314E-3</v>
      </c>
      <c r="E66" s="44">
        <f t="shared" si="4"/>
        <v>7.9012002400294086E-4</v>
      </c>
      <c r="F66" s="44">
        <f t="shared" si="4"/>
        <v>7.9012002400294086E-4</v>
      </c>
      <c r="H66" s="44">
        <f t="shared" si="1"/>
        <v>9.8026735792717197E-12</v>
      </c>
      <c r="J66" s="44">
        <f t="shared" si="2"/>
        <v>-25.348365953247651</v>
      </c>
    </row>
    <row r="67" spans="1:10">
      <c r="A67" s="44">
        <f t="shared" si="3"/>
        <v>5.3999999999999968</v>
      </c>
      <c r="B67" s="44">
        <f t="shared" si="4"/>
        <v>2.6241240591792211E-2</v>
      </c>
      <c r="C67" s="44">
        <f t="shared" si="4"/>
        <v>2.6241240591792211E-2</v>
      </c>
      <c r="D67" s="44">
        <f t="shared" si="4"/>
        <v>5.796928603459546E-3</v>
      </c>
      <c r="E67" s="44">
        <f t="shared" si="4"/>
        <v>9.2878262679604471E-4</v>
      </c>
      <c r="F67" s="44">
        <f t="shared" si="4"/>
        <v>9.2878262679604471E-4</v>
      </c>
      <c r="H67" s="44">
        <f t="shared" si="1"/>
        <v>1.859467550232625E-11</v>
      </c>
      <c r="J67" s="44">
        <f t="shared" si="2"/>
        <v>-24.708145839506351</v>
      </c>
    </row>
    <row r="68" spans="1:10">
      <c r="A68" s="44">
        <f t="shared" si="3"/>
        <v>5.4999999999999964</v>
      </c>
      <c r="B68" s="44">
        <f t="shared" si="4"/>
        <v>2.8526218971826119E-2</v>
      </c>
      <c r="C68" s="44">
        <f t="shared" si="4"/>
        <v>2.8526218971826119E-2</v>
      </c>
      <c r="D68" s="44">
        <f t="shared" si="4"/>
        <v>6.53725851437681E-3</v>
      </c>
      <c r="E68" s="44">
        <f t="shared" si="4"/>
        <v>1.0865498354939466E-3</v>
      </c>
      <c r="F68" s="44">
        <f t="shared" si="4"/>
        <v>1.0865498354939466E-3</v>
      </c>
      <c r="H68" s="44">
        <f t="shared" si="1"/>
        <v>3.454188809309801E-11</v>
      </c>
      <c r="J68" s="44">
        <f t="shared" si="2"/>
        <v>-24.088848380746363</v>
      </c>
    </row>
    <row r="69" spans="1:10">
      <c r="A69" s="44">
        <f t="shared" si="3"/>
        <v>5.5999999999999961</v>
      </c>
      <c r="B69" s="44">
        <f t="shared" si="4"/>
        <v>3.0907803217003597E-2</v>
      </c>
      <c r="C69" s="44">
        <f t="shared" si="4"/>
        <v>3.0907803217003597E-2</v>
      </c>
      <c r="D69" s="44">
        <f t="shared" si="4"/>
        <v>7.3429447642820575E-3</v>
      </c>
      <c r="E69" s="44">
        <f t="shared" si="4"/>
        <v>1.2652458670762913E-3</v>
      </c>
      <c r="F69" s="44">
        <f t="shared" si="4"/>
        <v>1.2652458670762913E-3</v>
      </c>
      <c r="H69" s="44">
        <f t="shared" si="1"/>
        <v>6.2884616990417542E-11</v>
      </c>
      <c r="J69" s="44">
        <f t="shared" si="2"/>
        <v>-23.489719545082984</v>
      </c>
    </row>
    <row r="70" spans="1:10">
      <c r="A70" s="44">
        <f t="shared" si="3"/>
        <v>5.6999999999999957</v>
      </c>
      <c r="B70" s="44">
        <f t="shared" si="4"/>
        <v>3.3381586791997424E-2</v>
      </c>
      <c r="C70" s="44">
        <f t="shared" si="4"/>
        <v>3.3381586791997424E-2</v>
      </c>
      <c r="D70" s="44">
        <f t="shared" si="4"/>
        <v>8.2164223853938984E-3</v>
      </c>
      <c r="E70" s="44">
        <f t="shared" si="4"/>
        <v>1.466766831326634E-3</v>
      </c>
      <c r="F70" s="44">
        <f t="shared" si="4"/>
        <v>1.466766831326634E-3</v>
      </c>
      <c r="H70" s="44">
        <f t="shared" si="1"/>
        <v>1.122777569391995E-10</v>
      </c>
      <c r="J70" s="44">
        <f t="shared" si="2"/>
        <v>-22.910045342019529</v>
      </c>
    </row>
    <row r="71" spans="1:10">
      <c r="A71" s="44">
        <f t="shared" si="3"/>
        <v>5.7999999999999954</v>
      </c>
      <c r="B71" s="44">
        <f t="shared" si="4"/>
        <v>3.5942551833282509E-2</v>
      </c>
      <c r="C71" s="44">
        <f t="shared" si="4"/>
        <v>3.5942551833282509E-2</v>
      </c>
      <c r="D71" s="44">
        <f t="shared" si="4"/>
        <v>9.1599048763001643E-3</v>
      </c>
      <c r="E71" s="44">
        <f t="shared" si="4"/>
        <v>1.6930725276853682E-3</v>
      </c>
      <c r="F71" s="44">
        <f t="shared" si="4"/>
        <v>1.6930725276853682E-3</v>
      </c>
      <c r="H71" s="44">
        <f t="shared" si="1"/>
        <v>1.9673783965879568E-10</v>
      </c>
      <c r="J71" s="44">
        <f t="shared" si="2"/>
        <v>-22.349149036595513</v>
      </c>
    </row>
    <row r="72" spans="1:10">
      <c r="A72" s="44">
        <f t="shared" si="3"/>
        <v>5.899999999999995</v>
      </c>
      <c r="B72" s="44">
        <f t="shared" si="4"/>
        <v>3.8585100904297502E-2</v>
      </c>
      <c r="C72" s="44">
        <f t="shared" si="4"/>
        <v>3.8585100904297502E-2</v>
      </c>
      <c r="D72" s="44">
        <f t="shared" si="4"/>
        <v>1.017535880665601E-2</v>
      </c>
      <c r="E72" s="44">
        <f t="shared" si="4"/>
        <v>1.9461771431851379E-3</v>
      </c>
      <c r="F72" s="44">
        <f t="shared" si="4"/>
        <v>1.9461771431851379E-3</v>
      </c>
      <c r="H72" s="44">
        <f t="shared" si="1"/>
        <v>3.3853670280213412E-10</v>
      </c>
      <c r="J72" s="44">
        <f t="shared" si="2"/>
        <v>-21.806388601678208</v>
      </c>
    </row>
    <row r="73" spans="1:10">
      <c r="A73" s="44">
        <f t="shared" si="3"/>
        <v>5.9999999999999947</v>
      </c>
      <c r="B73" s="44">
        <f t="shared" si="4"/>
        <v>4.1303093412337573E-2</v>
      </c>
      <c r="C73" s="44">
        <f t="shared" si="4"/>
        <v>4.1303093412337573E-2</v>
      </c>
      <c r="D73" s="44">
        <f t="shared" si="4"/>
        <v>1.1264480021546591E-2</v>
      </c>
      <c r="E73" s="44">
        <f t="shared" si="4"/>
        <v>2.2281389053608602E-3</v>
      </c>
      <c r="F73" s="44">
        <f t="shared" si="4"/>
        <v>2.2281389053608602E-3</v>
      </c>
      <c r="H73" s="44">
        <f t="shared" si="1"/>
        <v>5.7241641888111999E-10</v>
      </c>
      <c r="J73" s="44">
        <f t="shared" si="2"/>
        <v>-21.281154384378951</v>
      </c>
    </row>
    <row r="74" spans="1:10">
      <c r="A74" s="44">
        <f t="shared" si="3"/>
        <v>6.0999999999999943</v>
      </c>
      <c r="B74" s="44">
        <f t="shared" si="4"/>
        <v>4.4089886174291396E-2</v>
      </c>
      <c r="C74" s="44">
        <f t="shared" si="4"/>
        <v>4.4089886174291396E-2</v>
      </c>
      <c r="D74" s="44">
        <f t="shared" si="4"/>
        <v>1.242867170110136E-2</v>
      </c>
      <c r="E74" s="44">
        <f t="shared" si="4"/>
        <v>2.5410487582306633E-3</v>
      </c>
      <c r="F74" s="44">
        <f t="shared" si="4"/>
        <v>2.5410487582306633E-3</v>
      </c>
      <c r="H74" s="44">
        <f t="shared" si="1"/>
        <v>9.516089185746298E-10</v>
      </c>
      <c r="J74" s="44">
        <f t="shared" si="2"/>
        <v>-20.77286696535511</v>
      </c>
    </row>
    <row r="75" spans="1:10">
      <c r="A75" s="44">
        <f t="shared" si="3"/>
        <v>6.199999999999994</v>
      </c>
      <c r="B75" s="44">
        <f t="shared" si="4"/>
        <v>4.693837759360632E-2</v>
      </c>
      <c r="C75" s="44">
        <f t="shared" si="4"/>
        <v>4.693837759360632E-2</v>
      </c>
      <c r="D75" s="44">
        <f t="shared" si="4"/>
        <v>1.3669024505289574E-2</v>
      </c>
      <c r="E75" s="44">
        <f t="shared" si="4"/>
        <v>2.8870181427655506E-3</v>
      </c>
      <c r="F75" s="44">
        <f t="shared" si="4"/>
        <v>2.8870181427655506E-3</v>
      </c>
      <c r="H75" s="44">
        <f t="shared" si="1"/>
        <v>1.5562679958616495E-9</v>
      </c>
      <c r="J75" s="44">
        <f t="shared" si="2"/>
        <v>-20.280975192176509</v>
      </c>
    </row>
    <row r="76" spans="1:10">
      <c r="A76" s="44">
        <f t="shared" si="3"/>
        <v>6.2999999999999936</v>
      </c>
      <c r="B76" s="44">
        <f t="shared" si="4"/>
        <v>4.9841054894813747E-2</v>
      </c>
      <c r="C76" s="44">
        <f t="shared" si="4"/>
        <v>4.9841054894813747E-2</v>
      </c>
      <c r="D76" s="44">
        <f t="shared" si="4"/>
        <v>1.4986299005872377E-2</v>
      </c>
      <c r="E76" s="44">
        <f t="shared" si="4"/>
        <v>3.2681659755113925E-3</v>
      </c>
      <c r="F76" s="44">
        <f t="shared" si="4"/>
        <v>3.2681659755113925E-3</v>
      </c>
      <c r="H76" s="44">
        <f t="shared" si="1"/>
        <v>2.5050569452240294E-9</v>
      </c>
      <c r="J76" s="44">
        <f t="shared" si="2"/>
        <v>-19.804954370043603</v>
      </c>
    </row>
    <row r="77" spans="1:10">
      <c r="A77" s="44">
        <f t="shared" si="3"/>
        <v>6.3999999999999932</v>
      </c>
      <c r="B77" s="44">
        <f t="shared" si="4"/>
        <v>5.2790043854115287E-2</v>
      </c>
      <c r="C77" s="44">
        <f>(($A77^C$12)*(EXP(-$A77)))/(FACT(C$12))</f>
        <v>5.2790043854115287E-2</v>
      </c>
      <c r="D77" s="44">
        <f>(($A77^D$12)*(EXP(-$A77)))/(FACT(D$12))</f>
        <v>1.6380910577761802E-2</v>
      </c>
      <c r="E77" s="44">
        <f>(($A77^E$12)*(EXP(-$A77)))/(FACT(E$12))</f>
        <v>3.6866049300281426E-3</v>
      </c>
      <c r="F77" s="44">
        <f>(($A77^F$12)*(EXP(-$A77)))/(FACT(F$12))</f>
        <v>3.6866049300281426E-3</v>
      </c>
      <c r="H77" s="44">
        <f t="shared" si="1"/>
        <v>3.9707748102215798E-9</v>
      </c>
      <c r="J77" s="44">
        <f t="shared" si="2"/>
        <v>-19.344304594987111</v>
      </c>
    </row>
    <row r="78" spans="1:10">
      <c r="A78" s="44">
        <f t="shared" si="3"/>
        <v>6.4999999999999929</v>
      </c>
      <c r="B78" s="44">
        <f t="shared" si="4"/>
        <v>5.5777160464376634E-2</v>
      </c>
      <c r="C78" s="44">
        <f t="shared" si="4"/>
        <v>5.5777160464376634E-2</v>
      </c>
      <c r="D78" s="44">
        <f t="shared" si="4"/>
        <v>1.785291689105991E-2</v>
      </c>
      <c r="E78" s="44">
        <f t="shared" si="4"/>
        <v>4.1444271354246125E-3</v>
      </c>
      <c r="F78" s="44">
        <f t="shared" si="4"/>
        <v>4.1444271354246125E-3</v>
      </c>
      <c r="H78" s="44">
        <f t="shared" ref="H78:H141" si="5">PRODUCT(A78:F78)</f>
        <v>6.201037524134532E-9</v>
      </c>
      <c r="J78" s="44">
        <f t="shared" ref="J78:J141" si="6">LN(H78)</f>
        <v>-18.898549216293233</v>
      </c>
    </row>
    <row r="79" spans="1:10">
      <c r="A79" s="44">
        <f t="shared" ref="A79:A142" si="7">A78+0.1</f>
        <v>6.5999999999999925</v>
      </c>
      <c r="B79" s="44">
        <f t="shared" si="4"/>
        <v>5.8793963979789345E-2</v>
      </c>
      <c r="C79" s="44">
        <f t="shared" si="4"/>
        <v>5.8793963979789345E-2</v>
      </c>
      <c r="D79" s="44">
        <f t="shared" si="4"/>
        <v>1.9402008113330441E-2</v>
      </c>
      <c r="E79" s="44">
        <f t="shared" si="4"/>
        <v>4.6436894143773201E-3</v>
      </c>
      <c r="F79" s="44">
        <f t="shared" si="4"/>
        <v>4.6436894143773201E-3</v>
      </c>
      <c r="H79" s="44">
        <f t="shared" si="5"/>
        <v>9.5451428272328401E-9</v>
      </c>
      <c r="J79" s="44">
        <f t="shared" si="6"/>
        <v>-18.467233416315139</v>
      </c>
    </row>
    <row r="80" spans="1:10">
      <c r="A80" s="44">
        <f t="shared" si="7"/>
        <v>6.6999999999999922</v>
      </c>
      <c r="B80" s="44">
        <f t="shared" si="4"/>
        <v>6.1831810798775103E-2</v>
      </c>
      <c r="C80" s="44">
        <f t="shared" si="4"/>
        <v>6.1831810798775103E-2</v>
      </c>
      <c r="D80" s="44">
        <f t="shared" si="4"/>
        <v>2.1027499899674298E-2</v>
      </c>
      <c r="E80" s="44">
        <f t="shared" si="4"/>
        <v>5.1863981895405344E-3</v>
      </c>
      <c r="F80" s="44">
        <f t="shared" si="4"/>
        <v>5.1863981895405344E-3</v>
      </c>
      <c r="H80" s="44">
        <f t="shared" si="5"/>
        <v>1.448832191660829E-8</v>
      </c>
      <c r="J80" s="44">
        <f t="shared" si="6"/>
        <v>-18.049922897078169</v>
      </c>
    </row>
    <row r="81" spans="1:10">
      <c r="A81" s="44">
        <f t="shared" si="7"/>
        <v>6.7999999999999918</v>
      </c>
      <c r="B81" s="44">
        <f t="shared" si="4"/>
        <v>6.4881908662728471E-2</v>
      </c>
      <c r="C81" s="44">
        <f t="shared" si="4"/>
        <v>6.4881908662728471E-2</v>
      </c>
      <c r="D81" s="44">
        <f t="shared" si="4"/>
        <v>2.2728329216398162E-2</v>
      </c>
      <c r="E81" s="44">
        <f t="shared" si="4"/>
        <v>5.7744941921222441E-3</v>
      </c>
      <c r="F81" s="44">
        <f t="shared" si="4"/>
        <v>5.7744941921222441E-3</v>
      </c>
      <c r="H81" s="44">
        <f t="shared" si="5"/>
        <v>2.1694595468203679E-8</v>
      </c>
      <c r="J81" s="44">
        <f t="shared" si="6"/>
        <v>-17.646202664184592</v>
      </c>
    </row>
    <row r="82" spans="1:10">
      <c r="A82" s="44">
        <f t="shared" si="7"/>
        <v>6.8999999999999915</v>
      </c>
      <c r="B82" s="44">
        <f t="shared" si="4"/>
        <v>6.7935370672202039E-2</v>
      </c>
      <c r="C82" s="44">
        <f t="shared" si="4"/>
        <v>6.7935370672202039E-2</v>
      </c>
      <c r="D82" s="44">
        <f t="shared" si="4"/>
        <v>2.4503053012905538E-2</v>
      </c>
      <c r="E82" s="44">
        <f t="shared" si="4"/>
        <v>6.4098371095847803E-3</v>
      </c>
      <c r="F82" s="44">
        <f t="shared" si="4"/>
        <v>6.4098371095847803E-3</v>
      </c>
      <c r="H82" s="44">
        <f t="shared" si="5"/>
        <v>3.2059384141994862E-8</v>
      </c>
      <c r="J82" s="44">
        <f t="shared" si="6"/>
        <v>-17.255675899494275</v>
      </c>
    </row>
    <row r="83" spans="1:10">
      <c r="A83" s="44">
        <f t="shared" si="7"/>
        <v>6.9999999999999911</v>
      </c>
      <c r="B83" s="44">
        <f t="shared" si="4"/>
        <v>7.0983268650413434E-2</v>
      </c>
      <c r="C83" s="44">
        <f t="shared" si="4"/>
        <v>7.0983268650413434E-2</v>
      </c>
      <c r="D83" s="44">
        <f t="shared" si="4"/>
        <v>2.6349849726289759E-2</v>
      </c>
      <c r="E83" s="44">
        <f t="shared" si="4"/>
        <v>7.0941903109241486E-3</v>
      </c>
      <c r="F83" s="44">
        <f t="shared" si="4"/>
        <v>7.0941903109241486E-3</v>
      </c>
      <c r="H83" s="44">
        <f t="shared" si="5"/>
        <v>4.6772850732051689E-8</v>
      </c>
      <c r="J83" s="44">
        <f t="shared" si="6"/>
        <v>-16.877962914916203</v>
      </c>
    </row>
    <row r="84" spans="1:10">
      <c r="A84" s="44">
        <f t="shared" si="7"/>
        <v>7.0999999999999908</v>
      </c>
      <c r="B84" s="44">
        <f t="shared" si="4"/>
        <v>7.4016685415780076E-2</v>
      </c>
      <c r="C84" s="44">
        <f t="shared" si="4"/>
        <v>7.4016685415780076E-2</v>
      </c>
      <c r="D84" s="44">
        <f t="shared" si="4"/>
        <v>2.8266523574314119E-2</v>
      </c>
      <c r="E84" s="44">
        <f t="shared" si="4"/>
        <v>7.8292057878086314E-3</v>
      </c>
      <c r="F84" s="44">
        <f t="shared" si="4"/>
        <v>7.8292057878086314E-3</v>
      </c>
      <c r="H84" s="44">
        <f t="shared" si="5"/>
        <v>6.7394651255319626E-8</v>
      </c>
      <c r="J84" s="44">
        <f t="shared" si="6"/>
        <v>-16.51270018040686</v>
      </c>
    </row>
    <row r="85" spans="1:10">
      <c r="A85" s="44">
        <f t="shared" si="7"/>
        <v>7.1999999999999904</v>
      </c>
      <c r="B85" s="44">
        <f t="shared" si="4"/>
        <v>7.7026765559862459E-2</v>
      </c>
      <c r="C85" s="44">
        <f t="shared" si="4"/>
        <v>7.7026765559862459E-2</v>
      </c>
      <c r="D85" s="44">
        <f t="shared" si="4"/>
        <v>3.0250511565327719E-2</v>
      </c>
      <c r="E85" s="44">
        <f t="shared" si="4"/>
        <v>8.6164094480581585E-3</v>
      </c>
      <c r="F85" s="44">
        <f t="shared" si="4"/>
        <v>8.6164094480581585E-3</v>
      </c>
      <c r="H85" s="44">
        <f t="shared" si="5"/>
        <v>9.5940328204083572E-8</v>
      </c>
      <c r="J85" s="44">
        <f t="shared" si="6"/>
        <v>-16.159539419947727</v>
      </c>
    </row>
    <row r="86" spans="1:10">
      <c r="A86" s="44">
        <f t="shared" si="7"/>
        <v>7.2999999999999901</v>
      </c>
      <c r="B86" s="44">
        <f t="shared" si="4"/>
        <v>8.0004764363959438E-2</v>
      </c>
      <c r="C86" s="44">
        <f t="shared" si="4"/>
        <v>8.0004764363959438E-2</v>
      </c>
      <c r="D86" s="44">
        <f t="shared" si="4"/>
        <v>3.2298893128449906E-2</v>
      </c>
      <c r="E86" s="44">
        <f t="shared" si="4"/>
        <v>9.4571868945884114E-3</v>
      </c>
      <c r="F86" s="44">
        <f t="shared" si="4"/>
        <v>9.4571868945884114E-3</v>
      </c>
      <c r="H86" s="44">
        <f t="shared" si="5"/>
        <v>1.3497898060194236E-7</v>
      </c>
      <c r="J86" s="44">
        <f t="shared" si="6"/>
        <v>-15.81814676987524</v>
      </c>
    </row>
    <row r="87" spans="1:10">
      <c r="A87" s="44">
        <f t="shared" si="7"/>
        <v>7.3999999999999897</v>
      </c>
      <c r="B87" s="44">
        <f t="shared" si="4"/>
        <v>8.2942094525994006E-2</v>
      </c>
      <c r="C87" s="44">
        <f t="shared" si="4"/>
        <v>8.2942094525994006E-2</v>
      </c>
      <c r="D87" s="44">
        <f t="shared" si="4"/>
        <v>3.4408402244268332E-2</v>
      </c>
      <c r="E87" s="44">
        <f t="shared" si="4"/>
        <v>1.0352769818110598E-2</v>
      </c>
      <c r="F87" s="44">
        <f t="shared" si="4"/>
        <v>1.0352769818110598E-2</v>
      </c>
      <c r="H87" s="44">
        <f t="shared" si="5"/>
        <v>1.8774109181731435E-7</v>
      </c>
      <c r="J87" s="44">
        <f t="shared" si="6"/>
        <v>-15.488201994472744</v>
      </c>
    </row>
    <row r="88" spans="1:10">
      <c r="A88" s="44">
        <f t="shared" si="7"/>
        <v>7.4999999999999893</v>
      </c>
      <c r="B88" s="44">
        <f t="shared" si="4"/>
        <v>8.5830370408673237E-2</v>
      </c>
      <c r="C88" s="44">
        <f t="shared" si="4"/>
        <v>8.5830370408673237E-2</v>
      </c>
      <c r="D88" s="44">
        <f t="shared" si="4"/>
        <v>3.6575441935514062E-2</v>
      </c>
      <c r="E88" s="44">
        <f t="shared" si="4"/>
        <v>1.1304223125673958E-2</v>
      </c>
      <c r="F88" s="44">
        <f t="shared" si="4"/>
        <v>1.1304223125673958E-2</v>
      </c>
      <c r="H88" s="44">
        <f t="shared" si="5"/>
        <v>2.5823449894041739E-7</v>
      </c>
      <c r="J88" s="44">
        <f t="shared" si="6"/>
        <v>-15.169397754212161</v>
      </c>
    </row>
    <row r="89" spans="1:10">
      <c r="A89" s="44">
        <f t="shared" si="7"/>
        <v>7.599999999999989</v>
      </c>
      <c r="B89" s="44">
        <f t="shared" si="4"/>
        <v>8.8661449559633787E-2</v>
      </c>
      <c r="C89" s="44">
        <f t="shared" si="4"/>
        <v>8.8661449559633787E-2</v>
      </c>
      <c r="D89" s="44">
        <f t="shared" si="4"/>
        <v>3.879610095882146E-2</v>
      </c>
      <c r="E89" s="44">
        <f t="shared" si="4"/>
        <v>1.2312432919678687E-2</v>
      </c>
      <c r="F89" s="44">
        <f t="shared" si="4"/>
        <v>1.2312432919678687E-2</v>
      </c>
      <c r="H89" s="44">
        <f t="shared" si="5"/>
        <v>3.513654726869813E-7</v>
      </c>
      <c r="J89" s="44">
        <f t="shared" si="6"/>
        <v>-14.861438922460902</v>
      </c>
    </row>
    <row r="90" spans="1:10">
      <c r="A90" s="44">
        <f t="shared" si="7"/>
        <v>7.6999999999999886</v>
      </c>
      <c r="B90" s="44">
        <f t="shared" si="4"/>
        <v>9.1427471293896168E-2</v>
      </c>
      <c r="C90" s="44">
        <f t="shared" si="4"/>
        <v>9.1427471293896168E-2</v>
      </c>
      <c r="D90" s="44">
        <f t="shared" si="4"/>
        <v>4.1066172522841574E-2</v>
      </c>
      <c r="E90" s="44">
        <f t="shared" si="4"/>
        <v>1.3378095433402577E-2</v>
      </c>
      <c r="F90" s="44">
        <f t="shared" si="4"/>
        <v>1.3378095433402577E-2</v>
      </c>
      <c r="H90" s="44">
        <f t="shared" si="5"/>
        <v>4.7306078516320103E-7</v>
      </c>
      <c r="J90" s="44">
        <f t="shared" si="6"/>
        <v>-14.564041946852386</v>
      </c>
    </row>
    <row r="91" spans="1:10">
      <c r="A91" s="44">
        <f t="shared" si="7"/>
        <v>7.7999999999999883</v>
      </c>
      <c r="B91" s="44">
        <f t="shared" si="4"/>
        <v>9.4120892167983014E-2</v>
      </c>
      <c r="C91" s="44">
        <f t="shared" si="4"/>
        <v>9.4120892167983014E-2</v>
      </c>
      <c r="D91" s="44">
        <f t="shared" si="4"/>
        <v>4.3381174844697501E-2</v>
      </c>
      <c r="E91" s="44">
        <f t="shared" si="4"/>
        <v>1.4501707019513123E-2</v>
      </c>
      <c r="F91" s="44">
        <f t="shared" si="4"/>
        <v>1.4501707019513123E-2</v>
      </c>
      <c r="H91" s="44">
        <f t="shared" si="5"/>
        <v>6.3038553030534781E-7</v>
      </c>
      <c r="J91" s="44">
        <f t="shared" si="6"/>
        <v>-14.276934251862002</v>
      </c>
    </row>
    <row r="92" spans="1:10">
      <c r="A92" s="44">
        <f t="shared" si="7"/>
        <v>7.8999999999999879</v>
      </c>
      <c r="B92" s="44">
        <f t="shared" si="4"/>
        <v>9.6734518213105553E-2</v>
      </c>
      <c r="C92" s="44">
        <f t="shared" si="4"/>
        <v>9.6734518213105553E-2</v>
      </c>
      <c r="D92" s="44">
        <f t="shared" si="4"/>
        <v>4.5736373346059844E-2</v>
      </c>
      <c r="E92" s="44">
        <f t="shared" si="4"/>
        <v>1.5683555277624099E-2</v>
      </c>
      <c r="F92" s="44">
        <f t="shared" si="4"/>
        <v>1.5683555277624099E-2</v>
      </c>
      <c r="H92" s="44">
        <f t="shared" si="5"/>
        <v>8.3165039775423845E-7</v>
      </c>
      <c r="J92" s="44">
        <f t="shared" si="6"/>
        <v>-13.999853679438788</v>
      </c>
    </row>
    <row r="93" spans="1:10">
      <c r="A93" s="44">
        <f t="shared" si="7"/>
        <v>7.9999999999999876</v>
      </c>
      <c r="B93" s="44">
        <f t="shared" si="4"/>
        <v>9.9261533831535298E-2</v>
      </c>
      <c r="C93" s="44">
        <f t="shared" si="4"/>
        <v>9.9261533831535298E-2</v>
      </c>
      <c r="D93" s="44">
        <f t="shared" si="4"/>
        <v>4.8126804281956356E-2</v>
      </c>
      <c r="E93" s="44">
        <f t="shared" si="4"/>
        <v>1.692371139585273E-2</v>
      </c>
      <c r="F93" s="44">
        <f t="shared" si="4"/>
        <v>1.692371139585273E-2</v>
      </c>
      <c r="H93" s="44">
        <f t="shared" si="5"/>
        <v>1.0865011651953923E-6</v>
      </c>
      <c r="J93" s="44">
        <f t="shared" si="6"/>
        <v>-13.73254796482032</v>
      </c>
    </row>
    <row r="94" spans="1:10">
      <c r="A94" s="44">
        <f t="shared" si="7"/>
        <v>8.0999999999999872</v>
      </c>
      <c r="B94" s="44">
        <f t="shared" si="4"/>
        <v>0.10169552729534102</v>
      </c>
      <c r="C94" s="44">
        <f t="shared" si="4"/>
        <v>0.10169552729534102</v>
      </c>
      <c r="D94" s="44">
        <f t="shared" si="4"/>
        <v>5.0547299589752286E-2</v>
      </c>
      <c r="E94" s="44">
        <f t="shared" si="4"/>
        <v>1.8222023769690315E-2</v>
      </c>
      <c r="F94" s="44">
        <f t="shared" si="4"/>
        <v>1.8222023769690315E-2</v>
      </c>
      <c r="H94" s="44">
        <f t="shared" si="5"/>
        <v>1.4059824527619504E-6</v>
      </c>
      <c r="J94" s="44">
        <f t="shared" si="6"/>
        <v>-13.474774244908339</v>
      </c>
    </row>
    <row r="95" spans="1:10">
      <c r="A95" s="44">
        <f t="shared" si="7"/>
        <v>8.1999999999999869</v>
      </c>
      <c r="B95" s="44">
        <f t="shared" si="4"/>
        <v>0.10403051281984226</v>
      </c>
      <c r="C95" s="44">
        <f t="shared" si="4"/>
        <v>0.10403051281984226</v>
      </c>
      <c r="D95" s="44">
        <f t="shared" si="4"/>
        <v>5.2992512742470979E-2</v>
      </c>
      <c r="E95" s="44">
        <f t="shared" si="4"/>
        <v>1.9578112949471087E-2</v>
      </c>
      <c r="F95" s="44">
        <f t="shared" si="4"/>
        <v>1.9578112949471087E-2</v>
      </c>
      <c r="H95" s="44">
        <f t="shared" si="5"/>
        <v>1.8025673624495093E-6</v>
      </c>
      <c r="J95" s="44">
        <f t="shared" si="6"/>
        <v>-13.226298596807659</v>
      </c>
    </row>
    <row r="96" spans="1:10">
      <c r="A96" s="44">
        <f t="shared" si="7"/>
        <v>8.2999999999999865</v>
      </c>
      <c r="B96" s="44">
        <f t="shared" si="4"/>
        <v>0.10626094921518651</v>
      </c>
      <c r="C96" s="44">
        <f t="shared" si="4"/>
        <v>0.10626094921518651</v>
      </c>
      <c r="D96" s="44">
        <f t="shared" si="4"/>
        <v>5.5456945389652845E-2</v>
      </c>
      <c r="E96" s="44">
        <f t="shared" si="4"/>
        <v>2.0991367955456985E-2</v>
      </c>
      <c r="F96" s="44">
        <f t="shared" si="4"/>
        <v>2.0991367955456985E-2</v>
      </c>
      <c r="H96" s="44">
        <f t="shared" si="5"/>
        <v>2.2901445861496665E-6</v>
      </c>
      <c r="J96" s="44">
        <f t="shared" si="6"/>
        <v>-12.986895604334626</v>
      </c>
    </row>
    <row r="97" spans="1:10">
      <c r="A97" s="44">
        <f t="shared" si="7"/>
        <v>8.3999999999999861</v>
      </c>
      <c r="B97" s="44">
        <f t="shared" si="4"/>
        <v>0.10838175514825457</v>
      </c>
      <c r="C97" s="44">
        <f t="shared" si="4"/>
        <v>0.10838175514825457</v>
      </c>
      <c r="D97" s="44">
        <f t="shared" si="4"/>
        <v>5.7934974570157699E-2</v>
      </c>
      <c r="E97" s="44">
        <f t="shared" si="4"/>
        <v>2.2460943987199524E-2</v>
      </c>
      <c r="F97" s="44">
        <f t="shared" si="4"/>
        <v>2.2460943987199524E-2</v>
      </c>
      <c r="H97" s="44">
        <f t="shared" si="5"/>
        <v>2.8839549755067015E-6</v>
      </c>
      <c r="J97" s="44">
        <f t="shared" si="6"/>
        <v>-12.756347950484969</v>
      </c>
    </row>
    <row r="98" spans="1:10">
      <c r="A98" s="44">
        <f t="shared" si="7"/>
        <v>8.4999999999999858</v>
      </c>
      <c r="B98" s="44">
        <f t="shared" si="4"/>
        <v>0.11038832107349215</v>
      </c>
      <c r="C98" s="44">
        <f t="shared" si="4"/>
        <v>0.11038832107349215</v>
      </c>
      <c r="D98" s="44">
        <f t="shared" si="4"/>
        <v>6.0420880284543795E-2</v>
      </c>
      <c r="E98" s="44">
        <f t="shared" si="4"/>
        <v>2.3985761541528979E-2</v>
      </c>
      <c r="F98" s="44">
        <f t="shared" si="4"/>
        <v>2.3985761541528979E-2</v>
      </c>
      <c r="H98" s="44">
        <f t="shared" si="5"/>
        <v>3.6004704732835994E-6</v>
      </c>
      <c r="J98" s="44">
        <f t="shared" si="6"/>
        <v>-12.534446034017792</v>
      </c>
    </row>
    <row r="99" spans="1:10">
      <c r="A99" s="44">
        <f t="shared" si="7"/>
        <v>8.5999999999999854</v>
      </c>
      <c r="B99" s="44">
        <f t="shared" si="4"/>
        <v>0.11227651791520382</v>
      </c>
      <c r="C99" s="44">
        <f t="shared" si="4"/>
        <v>0.11227651791520382</v>
      </c>
      <c r="D99" s="44">
        <f t="shared" si="4"/>
        <v>6.2908873219760977E-2</v>
      </c>
      <c r="E99" s="44">
        <f t="shared" si="4"/>
        <v>2.5564506941392885E-2</v>
      </c>
      <c r="F99" s="44">
        <f t="shared" si="4"/>
        <v>2.5564506941392885E-2</v>
      </c>
      <c r="H99" s="44">
        <f t="shared" si="5"/>
        <v>4.4572097314616788E-6</v>
      </c>
      <c r="J99" s="44">
        <f t="shared" si="6"/>
        <v>-12.320987608463126</v>
      </c>
    </row>
    <row r="100" spans="1:10">
      <c r="A100" s="44">
        <f t="shared" si="7"/>
        <v>8.6999999999999851</v>
      </c>
      <c r="B100" s="44">
        <f t="shared" si="4"/>
        <v>0.11404270260526064</v>
      </c>
      <c r="C100" s="44">
        <f t="shared" si="4"/>
        <v>0.11404270260526064</v>
      </c>
      <c r="D100" s="44">
        <f t="shared" si="4"/>
        <v>6.5393122425698086E-2</v>
      </c>
      <c r="E100" s="44">
        <f t="shared" si="4"/>
        <v>2.719563426593995E-2</v>
      </c>
      <c r="F100" s="44">
        <f t="shared" si="4"/>
        <v>2.719563426593995E-2</v>
      </c>
      <c r="H100" s="44">
        <f t="shared" si="5"/>
        <v>5.4724866774990061E-6</v>
      </c>
      <c r="J100" s="44">
        <f t="shared" si="6"/>
        <v>-12.115777441997491</v>
      </c>
    </row>
    <row r="101" spans="1:10">
      <c r="A101" s="44">
        <f t="shared" si="7"/>
        <v>8.7999999999999847</v>
      </c>
      <c r="B101" s="44">
        <f t="shared" si="4"/>
        <v>0.11568372059906484</v>
      </c>
      <c r="C101" s="44">
        <f t="shared" si="4"/>
        <v>0.11568372059906484</v>
      </c>
      <c r="D101" s="44">
        <f t="shared" si="4"/>
        <v>6.7867782751451139E-2</v>
      </c>
      <c r="E101" s="44">
        <f t="shared" si="4"/>
        <v>2.8877368660837129E-2</v>
      </c>
      <c r="F101" s="44">
        <f t="shared" si="4"/>
        <v>2.8877368660837129E-2</v>
      </c>
      <c r="H101" s="44">
        <f t="shared" si="5"/>
        <v>6.6650906951184463E-6</v>
      </c>
      <c r="J101" s="44">
        <f t="shared" si="6"/>
        <v>-11.918626996756501</v>
      </c>
    </row>
    <row r="102" spans="1:10">
      <c r="A102" s="44">
        <f t="shared" si="7"/>
        <v>8.8999999999999844</v>
      </c>
      <c r="B102" s="44">
        <f t="shared" si="4"/>
        <v>0.11719690550900629</v>
      </c>
      <c r="C102" s="44">
        <f t="shared" si="4"/>
        <v>0.11719690550900629</v>
      </c>
      <c r="D102" s="44">
        <f t="shared" si="4"/>
        <v>7.0327021858851174E-2</v>
      </c>
      <c r="E102" s="44">
        <f t="shared" si="4"/>
        <v>3.0607710996920785E-2</v>
      </c>
      <c r="F102" s="44">
        <f t="shared" si="4"/>
        <v>3.0607710996920785E-2</v>
      </c>
      <c r="H102" s="44">
        <f t="shared" si="5"/>
        <v>8.0538998835103244E-6</v>
      </c>
      <c r="J102" s="44">
        <f t="shared" si="6"/>
        <v>-11.729354126266566</v>
      </c>
    </row>
    <row r="103" spans="1:10">
      <c r="A103" s="44">
        <f t="shared" si="7"/>
        <v>8.999999999999984</v>
      </c>
      <c r="B103" s="44">
        <f t="shared" si="4"/>
        <v>0.11858007600857021</v>
      </c>
      <c r="C103" s="44">
        <f t="shared" si="4"/>
        <v>0.11858007600857021</v>
      </c>
      <c r="D103" s="44">
        <f t="shared" si="4"/>
        <v>7.2765046641622366E-2</v>
      </c>
      <c r="E103" s="44">
        <f t="shared" si="4"/>
        <v>3.2384443835007645E-2</v>
      </c>
      <c r="F103" s="44">
        <f t="shared" si="4"/>
        <v>3.2384443835007645E-2</v>
      </c>
      <c r="H103" s="44">
        <f t="shared" si="5"/>
        <v>9.657431940216236E-6</v>
      </c>
      <c r="J103" s="44">
        <f t="shared" si="6"/>
        <v>-11.547782789780925</v>
      </c>
    </row>
    <row r="104" spans="1:10">
      <c r="A104" s="44">
        <f t="shared" si="7"/>
        <v>9.0999999999999837</v>
      </c>
      <c r="B104" s="44">
        <f t="shared" si="4"/>
        <v>0.11983153017179349</v>
      </c>
      <c r="C104" s="44">
        <f t="shared" si="4"/>
        <v>0.11983153017179349</v>
      </c>
      <c r="D104" s="44">
        <f t="shared" si="4"/>
        <v>7.5176128890349886E-2</v>
      </c>
      <c r="E104" s="44">
        <f t="shared" si="4"/>
        <v>3.4205138645109066E-2</v>
      </c>
      <c r="F104" s="44">
        <f t="shared" si="4"/>
        <v>3.4205138645109066E-2</v>
      </c>
      <c r="H104" s="44">
        <f t="shared" si="5"/>
        <v>1.1493340441245593E-5</v>
      </c>
      <c r="J104" s="44">
        <f t="shared" si="6"/>
        <v>-11.373742782399241</v>
      </c>
    </row>
    <row r="105" spans="1:10">
      <c r="A105" s="44">
        <f t="shared" si="7"/>
        <v>9.1999999999999833</v>
      </c>
      <c r="B105" s="44">
        <f t="shared" si="4"/>
        <v>0.12095003742199989</v>
      </c>
      <c r="C105" s="44">
        <f t="shared" si="4"/>
        <v>0.12095003742199989</v>
      </c>
      <c r="D105" s="44">
        <f t="shared" si="4"/>
        <v>7.7554630056045695E-2</v>
      </c>
      <c r="E105" s="44">
        <f t="shared" si="4"/>
        <v>3.6067164219470788E-2</v>
      </c>
      <c r="F105" s="44">
        <f t="shared" si="4"/>
        <v>3.6067164219470788E-2</v>
      </c>
      <c r="H105" s="44">
        <f t="shared" si="5"/>
        <v>1.3577867508548006E-5</v>
      </c>
      <c r="J105" s="44">
        <f t="shared" si="6"/>
        <v>-11.207069479935637</v>
      </c>
    </row>
    <row r="106" spans="1:10">
      <c r="A106" s="44">
        <f t="shared" si="7"/>
        <v>9.2999999999999829</v>
      </c>
      <c r="B106" s="44">
        <f t="shared" si="4"/>
        <v>0.12193482827077833</v>
      </c>
      <c r="C106" s="44">
        <f t="shared" si="4"/>
        <v>0.12193482827077833</v>
      </c>
      <c r="D106" s="44">
        <f t="shared" si="4"/>
        <v>7.9895024978330134E-2</v>
      </c>
      <c r="E106" s="44">
        <f t="shared" si="4"/>
        <v>3.7967696210855766E-2</v>
      </c>
      <c r="F106" s="44">
        <f t="shared" si="4"/>
        <v>3.7967696210855766E-2</v>
      </c>
      <c r="H106" s="44">
        <f t="shared" si="5"/>
        <v>1.5925266888157869E-5</v>
      </c>
      <c r="J106" s="44">
        <f t="shared" si="6"/>
        <v>-11.047603597578481</v>
      </c>
    </row>
    <row r="107" spans="1:10">
      <c r="A107" s="44">
        <f t="shared" si="7"/>
        <v>9.3999999999999826</v>
      </c>
      <c r="B107" s="44">
        <f t="shared" si="4"/>
        <v>0.12278558203312225</v>
      </c>
      <c r="C107" s="44">
        <f t="shared" si="4"/>
        <v>0.12278558203312225</v>
      </c>
      <c r="D107" s="44">
        <f t="shared" si="4"/>
        <v>8.2191924457929111E-2</v>
      </c>
      <c r="E107" s="44">
        <f t="shared" si="4"/>
        <v>3.9903727720343896E-2</v>
      </c>
      <c r="F107" s="44">
        <f t="shared" si="4"/>
        <v>3.9903727720343896E-2</v>
      </c>
      <c r="H107" s="44">
        <f t="shared" si="5"/>
        <v>1.8547214137484377E-5</v>
      </c>
      <c r="J107" s="44">
        <f t="shared" si="6"/>
        <v>-10.895190961456855</v>
      </c>
    </row>
    <row r="108" spans="1:10">
      <c r="A108" s="44">
        <f t="shared" si="7"/>
        <v>9.4999999999999822</v>
      </c>
      <c r="B108" s="44">
        <f t="shared" si="4"/>
        <v>0.12350241270765436</v>
      </c>
      <c r="C108" s="44">
        <f t="shared" si="4"/>
        <v>0.12350241270765436</v>
      </c>
      <c r="D108" s="44">
        <f t="shared" si="4"/>
        <v>8.4440096567164877E-2</v>
      </c>
      <c r="E108" s="44">
        <f t="shared" si="4"/>
        <v>4.1872080852673625E-2</v>
      </c>
      <c r="F108" s="44">
        <f t="shared" si="4"/>
        <v>4.1872080852673625E-2</v>
      </c>
      <c r="H108" s="44">
        <f t="shared" si="5"/>
        <v>2.1452222770512405E-5</v>
      </c>
      <c r="J108" s="44">
        <f t="shared" si="6"/>
        <v>-10.749682292294102</v>
      </c>
    </row>
    <row r="109" spans="1:10">
      <c r="A109" s="44">
        <f t="shared" si="7"/>
        <v>9.5999999999999819</v>
      </c>
      <c r="B109" s="44">
        <f t="shared" si="4"/>
        <v>0.12408585321204839</v>
      </c>
      <c r="C109" s="44">
        <f t="shared" si="4"/>
        <v>0.12408585321204839</v>
      </c>
      <c r="D109" s="44">
        <f t="shared" si="4"/>
        <v>8.6634486606229827E-2</v>
      </c>
      <c r="E109" s="44">
        <f t="shared" si="4"/>
        <v>4.3869419151813797E-2</v>
      </c>
      <c r="F109" s="44">
        <f t="shared" si="4"/>
        <v>4.3869419151813797E-2</v>
      </c>
      <c r="H109" s="44">
        <f t="shared" si="5"/>
        <v>2.464508668691546E-5</v>
      </c>
      <c r="J109" s="44">
        <f t="shared" si="6"/>
        <v>-10.61093300038908</v>
      </c>
    </row>
    <row r="110" spans="1:10">
      <c r="A110" s="44">
        <f t="shared" si="7"/>
        <v>9.6999999999999815</v>
      </c>
      <c r="B110" s="44">
        <f t="shared" si="4"/>
        <v>0.1245368381632825</v>
      </c>
      <c r="C110" s="44">
        <f t="shared" si="4"/>
        <v>0.1245368381632825</v>
      </c>
      <c r="D110" s="44">
        <f t="shared" si="4"/>
        <v>8.8770235627145505E-2</v>
      </c>
      <c r="E110" s="44">
        <f t="shared" si="4"/>
        <v>4.5892260825044447E-2</v>
      </c>
      <c r="F110" s="44">
        <f t="shared" si="4"/>
        <v>4.5892260825044447E-2</v>
      </c>
      <c r="H110" s="44">
        <f t="shared" si="5"/>
        <v>2.8126369895769042E-5</v>
      </c>
      <c r="J110" s="44">
        <f t="shared" si="6"/>
        <v>-10.478802991220736</v>
      </c>
    </row>
    <row r="111" spans="1:10">
      <c r="A111" s="44">
        <f t="shared" si="7"/>
        <v>9.7999999999999812</v>
      </c>
      <c r="B111" s="44">
        <f t="shared" si="4"/>
        <v>0.12485668539035698</v>
      </c>
      <c r="C111" s="44">
        <f t="shared" si="4"/>
        <v>0.12485668539035698</v>
      </c>
      <c r="D111" s="44">
        <f t="shared" si="4"/>
        <v>9.0842697461286676E-2</v>
      </c>
      <c r="E111" s="44">
        <f t="shared" si="4"/>
        <v>4.7936992660340329E-2</v>
      </c>
      <c r="F111" s="44">
        <f t="shared" si="4"/>
        <v>4.7936992660340329E-2</v>
      </c>
      <c r="H111" s="44">
        <f t="shared" si="5"/>
        <v>3.1891964354389715E-5</v>
      </c>
      <c r="J111" s="44">
        <f t="shared" si="6"/>
        <v>-10.3531564810222</v>
      </c>
    </row>
    <row r="112" spans="1:10">
      <c r="A112" s="44">
        <f t="shared" si="7"/>
        <v>9.8999999999999808</v>
      </c>
      <c r="B112" s="44">
        <f t="shared" si="4"/>
        <v>0.12504707636373136</v>
      </c>
      <c r="C112" s="44">
        <f t="shared" si="4"/>
        <v>0.12504707636373136</v>
      </c>
      <c r="D112" s="44">
        <f t="shared" si="4"/>
        <v>9.2847454200070192E-2</v>
      </c>
      <c r="E112" s="44">
        <f t="shared" si="4"/>
        <v>4.9999884539279366E-2</v>
      </c>
      <c r="F112" s="44">
        <f t="shared" si="4"/>
        <v>4.9999884539279366E-2</v>
      </c>
      <c r="H112" s="44">
        <f t="shared" si="5"/>
        <v>3.5932735639062037E-5</v>
      </c>
      <c r="J112" s="44">
        <f t="shared" si="6"/>
        <v>-10.233861821717102</v>
      </c>
    </row>
    <row r="113" spans="1:10">
      <c r="A113" s="44">
        <f t="shared" si="7"/>
        <v>9.9999999999999805</v>
      </c>
      <c r="B113" s="44">
        <f t="shared" si="4"/>
        <v>0.12511003572113327</v>
      </c>
      <c r="C113" s="44">
        <f t="shared" si="4"/>
        <v>0.12511003572113327</v>
      </c>
      <c r="D113" s="44">
        <f t="shared" si="4"/>
        <v>9.4780330091767243E-2</v>
      </c>
      <c r="E113" s="44">
        <f t="shared" si="4"/>
        <v>5.207710444602575E-2</v>
      </c>
      <c r="F113" s="44">
        <f t="shared" si="4"/>
        <v>5.207710444602575E-2</v>
      </c>
      <c r="H113" s="44">
        <f t="shared" si="5"/>
        <v>4.0234274155586181E-5</v>
      </c>
      <c r="J113" s="44">
        <f t="shared" si="6"/>
        <v>-10.120791334653516</v>
      </c>
    </row>
    <row r="114" spans="1:10">
      <c r="A114" s="44">
        <f t="shared" si="7"/>
        <v>10.09999999999998</v>
      </c>
      <c r="B114" s="44">
        <f t="shared" si="4"/>
        <v>0.12504791006370869</v>
      </c>
      <c r="C114" s="44">
        <f t="shared" si="4"/>
        <v>0.12504791006370869</v>
      </c>
      <c r="D114" s="44">
        <f t="shared" si="4"/>
        <v>9.6637403830294497E-2</v>
      </c>
      <c r="E114" s="44">
        <f t="shared" si="4"/>
        <v>5.4164733872133525E-2</v>
      </c>
      <c r="F114" s="44">
        <f t="shared" si="4"/>
        <v>5.4164733872133525E-2</v>
      </c>
      <c r="H114" s="44">
        <f t="shared" si="5"/>
        <v>4.4776766740264236E-5</v>
      </c>
      <c r="J114" s="44">
        <f t="shared" si="6"/>
        <v>-10.013821152610262</v>
      </c>
    </row>
    <row r="115" spans="1:10">
      <c r="A115" s="44">
        <f t="shared" si="7"/>
        <v>10.19999999999998</v>
      </c>
      <c r="B115" s="44">
        <f t="shared" si="4"/>
        <v>0.12486334618986254</v>
      </c>
      <c r="C115" s="44">
        <f t="shared" si="4"/>
        <v>0.12486334618986254</v>
      </c>
      <c r="D115" s="44">
        <f t="shared" si="4"/>
        <v>9.8415019224191255E-2</v>
      </c>
      <c r="E115" s="44">
        <f t="shared" si="4"/>
        <v>5.6258783516949552E-2</v>
      </c>
      <c r="F115" s="44">
        <f t="shared" si="4"/>
        <v>5.6258783516949552E-2</v>
      </c>
      <c r="H115" s="44">
        <f t="shared" si="5"/>
        <v>4.9534999898588397E-5</v>
      </c>
      <c r="J115" s="44">
        <f t="shared" si="6"/>
        <v>-9.9128310695865522</v>
      </c>
    </row>
    <row r="116" spans="1:10">
      <c r="A116" s="44">
        <f t="shared" si="7"/>
        <v>10.299999999999979</v>
      </c>
      <c r="B116" s="44">
        <f t="shared" si="4"/>
        <v>0.12455926892671879</v>
      </c>
      <c r="C116" s="44">
        <f t="shared" si="4"/>
        <v>0.12455926892671879</v>
      </c>
      <c r="D116" s="44">
        <f t="shared" si="4"/>
        <v>0.10010979424572382</v>
      </c>
      <c r="E116" s="44">
        <f t="shared" si="4"/>
        <v>5.8355209184224162E-2</v>
      </c>
      <c r="F116" s="44">
        <f t="shared" ref="B116:F167" si="8">(($A116^F$12)*(EXP(-$A116)))/(FACT(F$12))</f>
        <v>5.8355209184224162E-2</v>
      </c>
      <c r="H116" s="44">
        <f t="shared" si="5"/>
        <v>5.4478501722741074E-5</v>
      </c>
      <c r="J116" s="44">
        <f t="shared" si="6"/>
        <v>-9.8177043979193037</v>
      </c>
    </row>
    <row r="117" spans="1:10">
      <c r="A117" s="44">
        <f t="shared" si="7"/>
        <v>10.399999999999979</v>
      </c>
      <c r="B117" s="44">
        <f t="shared" si="8"/>
        <v>0.12413885871104538</v>
      </c>
      <c r="C117" s="44">
        <f t="shared" si="8"/>
        <v>0.12413885871104538</v>
      </c>
      <c r="D117" s="44">
        <f t="shared" si="8"/>
        <v>0.10171862847111073</v>
      </c>
      <c r="E117" s="44">
        <f t="shared" si="8"/>
        <v>6.0449927777116989E-2</v>
      </c>
      <c r="F117" s="44">
        <f t="shared" si="8"/>
        <v>6.0449927777116989E-2</v>
      </c>
      <c r="H117" s="44">
        <f t="shared" si="5"/>
        <v>5.9571824896542792E-5</v>
      </c>
      <c r="J117" s="44">
        <f t="shared" si="6"/>
        <v>-9.72832783230335</v>
      </c>
    </row>
    <row r="118" spans="1:10">
      <c r="A118" s="44">
        <f t="shared" si="7"/>
        <v>10.499999999999979</v>
      </c>
      <c r="B118" s="44">
        <f t="shared" si="8"/>
        <v>0.12360552906286472</v>
      </c>
      <c r="C118" s="44">
        <f t="shared" si="8"/>
        <v>0.12360552906286472</v>
      </c>
      <c r="D118" s="44">
        <f t="shared" si="8"/>
        <v>0.10323870893318772</v>
      </c>
      <c r="E118" s="44">
        <f t="shared" si="8"/>
        <v>6.2538833296065369E-2</v>
      </c>
      <c r="F118" s="44">
        <f t="shared" si="8"/>
        <v>6.2538833296065369E-2</v>
      </c>
      <c r="H118" s="44">
        <f t="shared" si="5"/>
        <v>6.4774968337854319E-5</v>
      </c>
      <c r="J118" s="44">
        <f t="shared" si="6"/>
        <v>-9.6445913203181597</v>
      </c>
    </row>
    <row r="119" spans="1:10">
      <c r="A119" s="44">
        <f t="shared" si="7"/>
        <v>10.599999999999978</v>
      </c>
      <c r="B119" s="44">
        <f t="shared" si="8"/>
        <v>0.12296290408592891</v>
      </c>
      <c r="C119" s="44">
        <f t="shared" si="8"/>
        <v>0.12296290408592891</v>
      </c>
      <c r="D119" s="44">
        <f t="shared" si="8"/>
        <v>0.10466751441738574</v>
      </c>
      <c r="E119" s="44">
        <f t="shared" si="8"/>
        <v>6.4617812746908879E-2</v>
      </c>
      <c r="F119" s="44">
        <f t="shared" si="8"/>
        <v>6.4617812746908879E-2</v>
      </c>
      <c r="H119" s="44">
        <f t="shared" si="5"/>
        <v>7.0043930156615203E-5</v>
      </c>
      <c r="J119" s="44">
        <f t="shared" si="6"/>
        <v>-9.5663879390909852</v>
      </c>
    </row>
    <row r="120" spans="1:10">
      <c r="A120" s="44">
        <f t="shared" si="7"/>
        <v>10.699999999999978</v>
      </c>
      <c r="B120" s="44">
        <f t="shared" si="8"/>
        <v>0.12221479611988648</v>
      </c>
      <c r="C120" s="44">
        <f t="shared" si="8"/>
        <v>0.12221479611988648</v>
      </c>
      <c r="D120" s="44">
        <f t="shared" si="8"/>
        <v>0.10600281824064961</v>
      </c>
      <c r="E120" s="44">
        <f t="shared" si="8"/>
        <v>6.6682761870175383E-2</v>
      </c>
      <c r="F120" s="44">
        <f t="shared" si="8"/>
        <v>6.6682761870175383E-2</v>
      </c>
      <c r="H120" s="44">
        <f t="shared" si="5"/>
        <v>7.5331379935892928E-5</v>
      </c>
      <c r="J120" s="44">
        <f t="shared" si="6"/>
        <v>-9.4936137777508058</v>
      </c>
    </row>
    <row r="121" spans="1:10">
      <c r="A121" s="44">
        <f t="shared" si="7"/>
        <v>10.799999999999978</v>
      </c>
      <c r="B121" s="44">
        <f t="shared" si="8"/>
        <v>0.12136518365942088</v>
      </c>
      <c r="C121" s="44">
        <f t="shared" si="8"/>
        <v>0.12136518365942088</v>
      </c>
      <c r="D121" s="44">
        <f t="shared" si="8"/>
        <v>0.10724268956086964</v>
      </c>
      <c r="E121" s="44">
        <f t="shared" si="8"/>
        <v>6.8729600606482324E-2</v>
      </c>
      <c r="F121" s="44">
        <f t="shared" si="8"/>
        <v>6.8729600606482324E-2</v>
      </c>
      <c r="H121" s="44">
        <f t="shared" si="5"/>
        <v>8.0587434077667426E-5</v>
      </c>
      <c r="J121" s="44">
        <f t="shared" si="6"/>
        <v>-9.4261678253496797</v>
      </c>
    </row>
    <row r="122" spans="1:10">
      <c r="A122" s="44">
        <f t="shared" si="7"/>
        <v>10.899999999999977</v>
      </c>
      <c r="B122" s="44">
        <f t="shared" si="8"/>
        <v>0.12041818964597746</v>
      </c>
      <c r="C122" s="44">
        <f t="shared" si="8"/>
        <v>0.12041818964597746</v>
      </c>
      <c r="D122" s="44">
        <f t="shared" si="8"/>
        <v>0.10838549327150396</v>
      </c>
      <c r="E122" s="44">
        <f t="shared" si="8"/>
        <v>7.0754288217512812E-2</v>
      </c>
      <c r="F122" s="44">
        <f t="shared" si="8"/>
        <v>7.0754288217512812E-2</v>
      </c>
      <c r="H122" s="44">
        <f t="shared" si="5"/>
        <v>8.5760514277888049E-5</v>
      </c>
      <c r="J122" s="44">
        <f t="shared" si="6"/>
        <v>-9.363951863949314</v>
      </c>
    </row>
    <row r="123" spans="1:10">
      <c r="A123" s="44">
        <f t="shared" si="7"/>
        <v>10.999999999999977</v>
      </c>
      <c r="B123" s="44">
        <f t="shared" si="8"/>
        <v>0.11937806022802573</v>
      </c>
      <c r="C123" s="44">
        <f t="shared" si="8"/>
        <v>0.11937806022802573</v>
      </c>
      <c r="D123" s="44">
        <f t="shared" si="8"/>
        <v>0.10942988854235645</v>
      </c>
      <c r="E123" s="44">
        <f t="shared" si="8"/>
        <v>7.2752837986950966E-2</v>
      </c>
      <c r="F123" s="44">
        <f t="shared" si="8"/>
        <v>7.2752837986950966E-2</v>
      </c>
      <c r="H123" s="44">
        <f t="shared" si="5"/>
        <v>9.0798266260226439E-5</v>
      </c>
      <c r="J123" s="44">
        <f t="shared" si="6"/>
        <v>-9.3068703665896901</v>
      </c>
    </row>
    <row r="124" spans="1:10">
      <c r="A124" s="44">
        <f t="shared" si="7"/>
        <v>11.099999999999977</v>
      </c>
      <c r="B124" s="44">
        <f t="shared" si="8"/>
        <v>0.1182491440761881</v>
      </c>
      <c r="C124" s="44">
        <f t="shared" si="8"/>
        <v>0.1182491440761881</v>
      </c>
      <c r="D124" s="44">
        <f t="shared" si="8"/>
        <v>0.11037482607293238</v>
      </c>
      <c r="E124" s="44">
        <f t="shared" si="8"/>
        <v>7.4721331431021651E-2</v>
      </c>
      <c r="F124" s="44">
        <f t="shared" si="8"/>
        <v>7.4721331431021651E-2</v>
      </c>
      <c r="H124" s="44">
        <f t="shared" si="5"/>
        <v>9.5648513821293215E-5</v>
      </c>
      <c r="J124" s="44">
        <f t="shared" si="6"/>
        <v>-9.2548303998746952</v>
      </c>
    </row>
    <row r="125" spans="1:10">
      <c r="A125" s="44">
        <f t="shared" si="7"/>
        <v>11.199999999999976</v>
      </c>
      <c r="B125" s="44">
        <f t="shared" si="8"/>
        <v>0.11703587233008912</v>
      </c>
      <c r="C125" s="44">
        <f t="shared" si="8"/>
        <v>0.11703587233008912</v>
      </c>
      <c r="D125" s="44">
        <f t="shared" si="8"/>
        <v>0.11121954412944179</v>
      </c>
      <c r="E125" s="44">
        <f t="shared" si="8"/>
        <v>7.6655931953830331E-2</v>
      </c>
      <c r="F125" s="44">
        <f t="shared" si="8"/>
        <v>7.6655931953830331E-2</v>
      </c>
      <c r="H125" s="44">
        <f t="shared" si="5"/>
        <v>1.0026022209645946E-4</v>
      </c>
      <c r="J125" s="44">
        <f t="shared" si="6"/>
        <v>-9.2077415309263095</v>
      </c>
    </row>
    <row r="126" spans="1:10">
      <c r="A126" s="44">
        <f t="shared" si="7"/>
        <v>11.299999999999976</v>
      </c>
      <c r="B126" s="44">
        <f t="shared" si="8"/>
        <v>0.1157427392444994</v>
      </c>
      <c r="C126" s="44">
        <f t="shared" si="8"/>
        <v>0.1157427392444994</v>
      </c>
      <c r="D126" s="44">
        <f t="shared" si="8"/>
        <v>0.1119635634403793</v>
      </c>
      <c r="E126" s="44">
        <f t="shared" si="8"/>
        <v>7.8552897888472376E-2</v>
      </c>
      <c r="F126" s="44">
        <f t="shared" si="8"/>
        <v>7.8552897888472376E-2</v>
      </c>
      <c r="H126" s="44">
        <f t="shared" si="5"/>
        <v>1.0458444377495121E-4</v>
      </c>
      <c r="J126" s="44">
        <f t="shared" si="6"/>
        <v>-9.1655157384743013</v>
      </c>
    </row>
    <row r="127" spans="1:10">
      <c r="A127" s="44">
        <f t="shared" si="7"/>
        <v>11.399999999999975</v>
      </c>
      <c r="B127" s="44">
        <f t="shared" si="8"/>
        <v>0.11437428359332177</v>
      </c>
      <c r="C127" s="44">
        <f t="shared" si="8"/>
        <v>0.11437428359332177</v>
      </c>
      <c r="D127" s="44">
        <f t="shared" si="8"/>
        <v>0.11260668102869723</v>
      </c>
      <c r="E127" s="44">
        <f t="shared" si="8"/>
        <v>8.0408594870821026E-2</v>
      </c>
      <c r="F127" s="44">
        <f t="shared" si="8"/>
        <v>8.0408594870821026E-2</v>
      </c>
      <c r="H127" s="44">
        <f t="shared" si="5"/>
        <v>1.0857522276144263E-4</v>
      </c>
      <c r="J127" s="44">
        <f t="shared" si="6"/>
        <v>-9.128067327862853</v>
      </c>
    </row>
    <row r="128" spans="1:10">
      <c r="A128" s="44">
        <f t="shared" si="7"/>
        <v>11.499999999999975</v>
      </c>
      <c r="B128" s="44">
        <f t="shared" si="8"/>
        <v>0.11293507088124392</v>
      </c>
      <c r="C128" s="44">
        <f t="shared" si="8"/>
        <v>0.11293507088124392</v>
      </c>
      <c r="D128" s="44">
        <f t="shared" si="8"/>
        <v>0.11314896306094278</v>
      </c>
      <c r="E128" s="44">
        <f t="shared" si="8"/>
        <v>8.2219507498953931E-2</v>
      </c>
      <c r="F128" s="44">
        <f t="shared" si="8"/>
        <v>8.2219507498953931E-2</v>
      </c>
      <c r="H128" s="44">
        <f t="shared" si="5"/>
        <v>1.121904314430221E-4</v>
      </c>
      <c r="J128" s="44">
        <f t="shared" si="6"/>
        <v>-9.0953128497688187</v>
      </c>
    </row>
    <row r="129" spans="1:10">
      <c r="A129" s="44">
        <f t="shared" si="7"/>
        <v>11.599999999999975</v>
      </c>
      <c r="B129" s="44">
        <f t="shared" si="8"/>
        <v>0.1114296764045019</v>
      </c>
      <c r="C129" s="44">
        <f t="shared" si="8"/>
        <v>0.1114296764045019</v>
      </c>
      <c r="D129" s="44">
        <f t="shared" si="8"/>
        <v>0.11359073679537658</v>
      </c>
      <c r="E129" s="44">
        <f t="shared" si="8"/>
        <v>8.3982250237284645E-2</v>
      </c>
      <c r="F129" s="44">
        <f t="shared" si="8"/>
        <v>8.3982250237284645E-2</v>
      </c>
      <c r="H129" s="44">
        <f t="shared" si="5"/>
        <v>1.1539252018191464E-4</v>
      </c>
      <c r="J129" s="44">
        <f t="shared" si="6"/>
        <v>-9.0671710224388313</v>
      </c>
    </row>
    <row r="130" spans="1:10">
      <c r="A130" s="44">
        <f t="shared" si="7"/>
        <v>11.699999999999974</v>
      </c>
      <c r="B130" s="44">
        <f t="shared" si="8"/>
        <v>0.10986266919419924</v>
      </c>
      <c r="C130" s="44">
        <f t="shared" si="8"/>
        <v>0.10986266919419924</v>
      </c>
      <c r="D130" s="44">
        <f t="shared" si="8"/>
        <v>0.11393258171207475</v>
      </c>
      <c r="E130" s="44">
        <f t="shared" si="8"/>
        <v>8.5693577530581558E-2</v>
      </c>
      <c r="F130" s="44">
        <f t="shared" si="8"/>
        <v>8.5693577530581558E-2</v>
      </c>
      <c r="H130" s="44">
        <f t="shared" si="5"/>
        <v>1.1814916079149445E-4</v>
      </c>
      <c r="J130" s="44">
        <f t="shared" si="6"/>
        <v>-9.0435626572639514</v>
      </c>
    </row>
    <row r="131" spans="1:10">
      <c r="A131" s="44">
        <f t="shared" si="7"/>
        <v>11.799999999999974</v>
      </c>
      <c r="B131" s="44">
        <f t="shared" si="8"/>
        <v>0.10823859686802767</v>
      </c>
      <c r="C131" s="44">
        <f t="shared" si="8"/>
        <v>0.10823859686802767</v>
      </c>
      <c r="D131" s="44">
        <f t="shared" si="8"/>
        <v>0.11417531990836444</v>
      </c>
      <c r="E131" s="44">
        <f t="shared" si="8"/>
        <v>8.7350393099124138E-2</v>
      </c>
      <c r="F131" s="44">
        <f t="shared" si="8"/>
        <v>8.7350393099124138E-2</v>
      </c>
      <c r="H131" s="44">
        <f t="shared" si="5"/>
        <v>1.2043376941807628E-4</v>
      </c>
      <c r="J131" s="44">
        <f t="shared" si="6"/>
        <v>-9.0244105875215226</v>
      </c>
    </row>
    <row r="132" spans="1:10">
      <c r="A132" s="44">
        <f t="shared" si="7"/>
        <v>11.899999999999974</v>
      </c>
      <c r="B132" s="44">
        <f t="shared" si="8"/>
        <v>0.10656197140907256</v>
      </c>
      <c r="C132" s="44">
        <f t="shared" si="8"/>
        <v>0.10656197140907256</v>
      </c>
      <c r="D132" s="44">
        <f t="shared" si="8"/>
        <v>0.11432000584271743</v>
      </c>
      <c r="E132" s="44">
        <f t="shared" si="8"/>
        <v>8.8949758392237052E-2</v>
      </c>
      <c r="F132" s="44">
        <f t="shared" si="8"/>
        <v>8.8949758392237052E-2</v>
      </c>
      <c r="H132" s="44">
        <f t="shared" si="5"/>
        <v>1.2222589828075683E-4</v>
      </c>
      <c r="J132" s="44">
        <f t="shared" si="6"/>
        <v>-9.0096396001237746</v>
      </c>
    </row>
    <row r="133" spans="1:10">
      <c r="A133" s="44">
        <f t="shared" si="7"/>
        <v>11.999999999999973</v>
      </c>
      <c r="B133" s="44">
        <f t="shared" si="8"/>
        <v>0.10483725588365982</v>
      </c>
      <c r="C133" s="44">
        <f t="shared" si="8"/>
        <v>0.10483725588365982</v>
      </c>
      <c r="D133" s="44">
        <f t="shared" si="8"/>
        <v>0.11436791550944657</v>
      </c>
      <c r="E133" s="44">
        <f t="shared" si="8"/>
        <v>9.0488900183297971E-2</v>
      </c>
      <c r="F133" s="44">
        <f t="shared" si="8"/>
        <v>9.0488900183297971E-2</v>
      </c>
      <c r="H133" s="44">
        <f t="shared" si="5"/>
        <v>1.2351148994619275E-4</v>
      </c>
      <c r="J133" s="44">
        <f t="shared" si="6"/>
        <v>-8.999176370222262</v>
      </c>
    </row>
    <row r="134" spans="1:10">
      <c r="A134" s="44">
        <f t="shared" si="7"/>
        <v>12.099999999999973</v>
      </c>
      <c r="B134" s="44">
        <f t="shared" si="8"/>
        <v>0.10306885210393661</v>
      </c>
      <c r="C134" s="44">
        <f t="shared" si="8"/>
        <v>0.10306885210393661</v>
      </c>
      <c r="D134" s="44">
        <f t="shared" si="8"/>
        <v>0.11432053512528251</v>
      </c>
      <c r="E134" s="44">
        <f t="shared" si="8"/>
        <v>9.1965217295013946E-2</v>
      </c>
      <c r="F134" s="44">
        <f t="shared" si="8"/>
        <v>9.1965217295013946E-2</v>
      </c>
      <c r="H134" s="44">
        <f t="shared" si="5"/>
        <v>1.2428299206627462E-4</v>
      </c>
      <c r="J134" s="44">
        <f t="shared" si="6"/>
        <v>-8.9929493985258624</v>
      </c>
    </row>
    <row r="135" spans="1:10">
      <c r="A135" s="44">
        <f t="shared" si="7"/>
        <v>12.199999999999973</v>
      </c>
      <c r="B135" s="44">
        <f t="shared" si="8"/>
        <v>0.10126108923506927</v>
      </c>
      <c r="C135" s="44">
        <f t="shared" si="8"/>
        <v>0.10126108923506927</v>
      </c>
      <c r="D135" s="44">
        <f t="shared" si="8"/>
        <v>0.1141795494071791</v>
      </c>
      <c r="E135" s="44">
        <f t="shared" si="8"/>
        <v>9.3376286449255289E-2</v>
      </c>
      <c r="F135" s="44">
        <f t="shared" si="8"/>
        <v>9.3376286449255289E-2</v>
      </c>
      <c r="H135" s="44">
        <f t="shared" si="5"/>
        <v>1.2453933462460315E-4</v>
      </c>
      <c r="J135" s="44">
        <f t="shared" si="6"/>
        <v>-8.9908889511984196</v>
      </c>
    </row>
    <row r="136" spans="1:10">
      <c r="A136" s="44">
        <f t="shared" si="7"/>
        <v>12.299999999999972</v>
      </c>
      <c r="B136" s="44">
        <f t="shared" si="8"/>
        <v>9.9418213341602044E-2</v>
      </c>
      <c r="C136" s="44">
        <f t="shared" si="8"/>
        <v>9.9418213341602044E-2</v>
      </c>
      <c r="D136" s="44">
        <f t="shared" si="8"/>
        <v>0.11394682951856747</v>
      </c>
      <c r="E136" s="44">
        <f t="shared" si="8"/>
        <v>9.4719867241010947E-2</v>
      </c>
      <c r="F136" s="44">
        <f t="shared" si="8"/>
        <v>9.4719867241010947E-2</v>
      </c>
      <c r="H136" s="44">
        <f t="shared" si="5"/>
        <v>1.2428577557864102E-4</v>
      </c>
      <c r="J136" s="44">
        <f t="shared" si="6"/>
        <v>-8.9929270022095995</v>
      </c>
    </row>
    <row r="137" spans="1:10">
      <c r="A137" s="44">
        <f t="shared" si="7"/>
        <v>12.399999999999972</v>
      </c>
      <c r="B137" s="44">
        <f t="shared" si="8"/>
        <v>9.7544377862638379E-2</v>
      </c>
      <c r="C137" s="44">
        <f t="shared" si="8"/>
        <v>9.7544377862638379E-2</v>
      </c>
      <c r="D137" s="44">
        <f t="shared" si="8"/>
        <v>0.11362442075878189</v>
      </c>
      <c r="E137" s="44">
        <f t="shared" si="8"/>
        <v>9.5993906241045188E-2</v>
      </c>
      <c r="F137" s="44">
        <f t="shared" si="8"/>
        <v>9.5993906241045188E-2</v>
      </c>
      <c r="H137" s="44">
        <f t="shared" si="5"/>
        <v>1.2353362422518971E-4</v>
      </c>
      <c r="J137" s="44">
        <f t="shared" si="6"/>
        <v>-8.9989971780198132</v>
      </c>
    </row>
    <row r="138" spans="1:10">
      <c r="A138" s="44">
        <f t="shared" si="7"/>
        <v>12.499999999999972</v>
      </c>
      <c r="B138" s="44">
        <f t="shared" si="8"/>
        <v>9.5643635001082097E-2</v>
      </c>
      <c r="C138" s="44">
        <f t="shared" si="8"/>
        <v>9.5643635001082097E-2</v>
      </c>
      <c r="D138" s="44">
        <f t="shared" si="8"/>
        <v>0.11321453006756828</v>
      </c>
      <c r="E138" s="44">
        <f t="shared" si="8"/>
        <v>9.7196540236579448E-2</v>
      </c>
      <c r="F138" s="44">
        <f t="shared" si="8"/>
        <v>9.7196540236579448E-2</v>
      </c>
      <c r="H138" s="44">
        <f t="shared" si="5"/>
        <v>1.2229985455902503E-4</v>
      </c>
      <c r="J138" s="44">
        <f t="shared" si="6"/>
        <v>-9.0090347044866945</v>
      </c>
    </row>
    <row r="139" spans="1:10">
      <c r="A139" s="44">
        <f t="shared" si="7"/>
        <v>12.599999999999971</v>
      </c>
      <c r="B139" s="44">
        <f t="shared" si="8"/>
        <v>9.3719928008199532E-2</v>
      </c>
      <c r="C139" s="44">
        <f t="shared" si="8"/>
        <v>9.3719928008199532E-2</v>
      </c>
      <c r="D139" s="44">
        <f t="shared" si="8"/>
        <v>0.11271951341349766</v>
      </c>
      <c r="E139" s="44">
        <f t="shared" si="8"/>
        <v>9.8326098623773658E-2</v>
      </c>
      <c r="F139" s="44">
        <f t="shared" si="8"/>
        <v>9.8326098623773658E-2</v>
      </c>
      <c r="H139" s="44">
        <f t="shared" si="5"/>
        <v>1.2060662326665072E-4</v>
      </c>
      <c r="J139" s="44">
        <f t="shared" si="6"/>
        <v>-9.0229763558869038</v>
      </c>
    </row>
    <row r="140" spans="1:10">
      <c r="A140" s="44">
        <f t="shared" si="7"/>
        <v>12.699999999999971</v>
      </c>
      <c r="B140" s="44">
        <f t="shared" si="8"/>
        <v>9.1777084341220824E-2</v>
      </c>
      <c r="C140" s="44">
        <f t="shared" si="8"/>
        <v>9.1777084341220824E-2</v>
      </c>
      <c r="D140" s="44">
        <f t="shared" si="8"/>
        <v>0.11214186313178361</v>
      </c>
      <c r="E140" s="44">
        <f t="shared" si="8"/>
        <v>9.9381104969919198E-2</v>
      </c>
      <c r="F140" s="44">
        <f t="shared" si="8"/>
        <v>9.9381104969919198E-2</v>
      </c>
      <c r="H140" s="44">
        <f t="shared" si="5"/>
        <v>1.1848070875560952E-4</v>
      </c>
      <c r="J140" s="44">
        <f t="shared" si="6"/>
        <v>-9.0407604059529945</v>
      </c>
    </row>
    <row r="141" spans="1:10">
      <c r="A141" s="44">
        <f t="shared" si="7"/>
        <v>12.799999999999971</v>
      </c>
      <c r="B141" s="44">
        <f t="shared" si="8"/>
        <v>8.9818809668584521E-2</v>
      </c>
      <c r="C141" s="44">
        <f t="shared" si="8"/>
        <v>8.9818809668584521E-2</v>
      </c>
      <c r="D141" s="44">
        <f t="shared" si="8"/>
        <v>0.11148419527349106</v>
      </c>
      <c r="E141" s="44">
        <f t="shared" si="8"/>
        <v>0.1003602777670807</v>
      </c>
      <c r="F141" s="44">
        <f t="shared" si="8"/>
        <v>0.1003602777670807</v>
      </c>
      <c r="H141" s="44">
        <f t="shared" si="5"/>
        <v>1.1595288874846157E-4</v>
      </c>
      <c r="J141" s="44">
        <f t="shared" si="6"/>
        <v>-9.0623265808304136</v>
      </c>
    </row>
    <row r="142" spans="1:10">
      <c r="A142" s="44">
        <f t="shared" si="7"/>
        <v>12.89999999999997</v>
      </c>
      <c r="B142" s="44">
        <f t="shared" si="8"/>
        <v>8.7848682694715297E-2</v>
      </c>
      <c r="C142" s="44">
        <f t="shared" si="8"/>
        <v>8.7848682694715297E-2</v>
      </c>
      <c r="D142" s="44">
        <f t="shared" si="8"/>
        <v>0.11074923702445079</v>
      </c>
      <c r="E142" s="44">
        <f t="shared" si="8"/>
        <v>0.10126253040241083</v>
      </c>
      <c r="F142" s="44">
        <f t="shared" si="8"/>
        <v>0.10126253040241083</v>
      </c>
      <c r="H142" s="44">
        <f t="shared" ref="H142:H205" si="9">PRODUCT(A142:F142)</f>
        <v>1.1305727447870739E-4</v>
      </c>
      <c r="J142" s="44">
        <f t="shared" ref="J142:J205" si="10">LN(H142)</f>
        <v>-9.087616013865059</v>
      </c>
    </row>
    <row r="143" spans="1:10">
      <c r="A143" s="44">
        <f t="shared" ref="A143:A206" si="11">A142+0.1</f>
        <v>12.99999999999997</v>
      </c>
      <c r="B143" s="44">
        <f t="shared" si="8"/>
        <v>8.5870150773907292E-2</v>
      </c>
      <c r="C143" s="44">
        <f t="shared" si="8"/>
        <v>8.5870150773907292E-2</v>
      </c>
      <c r="D143" s="44">
        <f t="shared" si="8"/>
        <v>0.10993981424841107</v>
      </c>
      <c r="E143" s="44">
        <f t="shared" si="8"/>
        <v>0.1020869703735241</v>
      </c>
      <c r="F143" s="44">
        <f t="shared" si="8"/>
        <v>0.1020869703735241</v>
      </c>
      <c r="H143" s="44">
        <f t="shared" si="9"/>
        <v>1.0983061944596589E-4</v>
      </c>
      <c r="J143" s="44">
        <f t="shared" si="10"/>
        <v>-9.1165712021365319</v>
      </c>
    </row>
    <row r="144" spans="1:10">
      <c r="A144" s="44">
        <f t="shared" si="11"/>
        <v>13.099999999999969</v>
      </c>
      <c r="B144" s="44">
        <f t="shared" si="8"/>
        <v>8.3886526280935444E-2</v>
      </c>
      <c r="C144" s="44">
        <f t="shared" si="8"/>
        <v>8.3886526280935444E-2</v>
      </c>
      <c r="D144" s="44">
        <f t="shared" si="8"/>
        <v>0.10905883920508533</v>
      </c>
      <c r="E144" s="44">
        <f t="shared" si="8"/>
        <v>0.10283289778013519</v>
      </c>
      <c r="F144" s="44">
        <f t="shared" si="8"/>
        <v>0.10283289778013519</v>
      </c>
      <c r="H144" s="44">
        <f t="shared" si="9"/>
        <v>1.0631162007117273E-4</v>
      </c>
      <c r="J144" s="44">
        <f t="shared" si="10"/>
        <v>-9.1491359646568124</v>
      </c>
    </row>
    <row r="145" spans="1:10">
      <c r="A145" s="44">
        <f t="shared" si="11"/>
        <v>13.199999999999969</v>
      </c>
      <c r="B145" s="44">
        <f t="shared" si="8"/>
        <v>8.1900983704420824E-2</v>
      </c>
      <c r="C145" s="44">
        <f t="shared" si="8"/>
        <v>8.1900983704420824E-2</v>
      </c>
      <c r="D145" s="44">
        <f t="shared" si="8"/>
        <v>0.10810929848983497</v>
      </c>
      <c r="E145" s="44">
        <f t="shared" si="8"/>
        <v>0.10349980312565252</v>
      </c>
      <c r="F145" s="44">
        <f t="shared" si="8"/>
        <v>0.10349980312565252</v>
      </c>
      <c r="H145" s="44">
        <f t="shared" si="9"/>
        <v>1.0254022450647822E-4</v>
      </c>
      <c r="J145" s="44">
        <f t="shared" si="10"/>
        <v>-9.1852554021584325</v>
      </c>
    </row>
    <row r="146" spans="1:10">
      <c r="A146" s="44">
        <f t="shared" si="11"/>
        <v>13.299999999999969</v>
      </c>
      <c r="B146" s="44">
        <f t="shared" si="8"/>
        <v>7.9916557427712406E-2</v>
      </c>
      <c r="C146" s="44">
        <f t="shared" si="8"/>
        <v>7.9916557427712406E-2</v>
      </c>
      <c r="D146" s="44">
        <f t="shared" si="8"/>
        <v>0.10709424123778774</v>
      </c>
      <c r="E146" s="44">
        <f t="shared" si="8"/>
        <v>0.10408736446457245</v>
      </c>
      <c r="F146" s="44">
        <f t="shared" si="8"/>
        <v>0.10408736446457245</v>
      </c>
      <c r="H146" s="44">
        <f t="shared" si="9"/>
        <v>9.8556964376966355E-5</v>
      </c>
      <c r="J146" s="44">
        <f t="shared" si="10"/>
        <v>-9.2248758584000754</v>
      </c>
    </row>
    <row r="147" spans="1:10">
      <c r="A147" s="44">
        <f t="shared" si="11"/>
        <v>13.399999999999968</v>
      </c>
      <c r="B147" s="44">
        <f t="shared" si="8"/>
        <v>7.7936140161093515E-2</v>
      </c>
      <c r="C147" s="44">
        <f t="shared" si="8"/>
        <v>7.7936140161093515E-2</v>
      </c>
      <c r="D147" s="44">
        <f t="shared" si="8"/>
        <v>0.10601676763125668</v>
      </c>
      <c r="E147" s="44">
        <f t="shared" si="8"/>
        <v>0.10459544393334265</v>
      </c>
      <c r="F147" s="44">
        <f t="shared" si="8"/>
        <v>0.10459544393334265</v>
      </c>
      <c r="H147" s="44">
        <f t="shared" si="9"/>
        <v>9.4402322447112598E-5</v>
      </c>
      <c r="J147" s="44">
        <f t="shared" si="10"/>
        <v>-9.2679448829214586</v>
      </c>
    </row>
    <row r="148" spans="1:10">
      <c r="A148" s="44">
        <f t="shared" si="11"/>
        <v>13.499999999999968</v>
      </c>
      <c r="B148" s="44">
        <f t="shared" si="8"/>
        <v>7.596248198845737E-2</v>
      </c>
      <c r="C148" s="44">
        <f t="shared" si="8"/>
        <v>7.596248198845737E-2</v>
      </c>
      <c r="D148" s="44">
        <f t="shared" si="8"/>
        <v>0.10488001774542643</v>
      </c>
      <c r="E148" s="44">
        <f t="shared" si="8"/>
        <v>0.10502408370386748</v>
      </c>
      <c r="F148" s="44">
        <f t="shared" si="8"/>
        <v>0.10502408370386748</v>
      </c>
      <c r="H148" s="44">
        <f t="shared" si="9"/>
        <v>9.011614720158957E-5</v>
      </c>
      <c r="J148" s="44">
        <f t="shared" si="10"/>
        <v>-9.3144111951828528</v>
      </c>
    </row>
    <row r="149" spans="1:10">
      <c r="A149" s="44">
        <f t="shared" si="11"/>
        <v>13.599999999999968</v>
      </c>
      <c r="B149" s="44">
        <f t="shared" si="8"/>
        <v>7.3998189991203167E-2</v>
      </c>
      <c r="C149" s="44">
        <f t="shared" si="8"/>
        <v>7.3998189991203167E-2</v>
      </c>
      <c r="D149" s="44">
        <f t="shared" si="8"/>
        <v>0.10368716076343087</v>
      </c>
      <c r="E149" s="44">
        <f t="shared" si="8"/>
        <v>0.10537350140002244</v>
      </c>
      <c r="F149" s="44">
        <f t="shared" si="8"/>
        <v>0.10537350140002244</v>
      </c>
      <c r="H149" s="44">
        <f t="shared" si="9"/>
        <v>8.573712319402884E-5</v>
      </c>
      <c r="J149" s="44">
        <f t="shared" si="10"/>
        <v>-9.3642246500278752</v>
      </c>
    </row>
    <row r="150" spans="1:10">
      <c r="A150" s="44">
        <f t="shared" si="11"/>
        <v>13.699999999999967</v>
      </c>
      <c r="B150" s="44">
        <f t="shared" si="8"/>
        <v>7.2045728411954973E-2</v>
      </c>
      <c r="C150" s="44">
        <f t="shared" si="8"/>
        <v>7.2045728411954973E-2</v>
      </c>
      <c r="D150" s="44">
        <f t="shared" si="8"/>
        <v>0.10244138458818004</v>
      </c>
      <c r="E150" s="44">
        <f t="shared" si="8"/>
        <v>0.10564408501843639</v>
      </c>
      <c r="F150" s="44">
        <f t="shared" si="8"/>
        <v>0.10564408501843639</v>
      </c>
      <c r="H150" s="44">
        <f t="shared" si="9"/>
        <v>8.130230383066717E-5</v>
      </c>
      <c r="J150" s="44">
        <f t="shared" si="10"/>
        <v>-9.4173362044114253</v>
      </c>
    </row>
    <row r="151" spans="1:10">
      <c r="A151" s="44">
        <f t="shared" si="11"/>
        <v>13.799999999999967</v>
      </c>
      <c r="B151" s="44">
        <f t="shared" si="8"/>
        <v>7.010741932078654E-2</v>
      </c>
      <c r="C151" s="44">
        <f t="shared" si="8"/>
        <v>7.010741932078654E-2</v>
      </c>
      <c r="D151" s="44">
        <f t="shared" si="8"/>
        <v>0.1011458858746252</v>
      </c>
      <c r="E151" s="44">
        <f t="shared" si="8"/>
        <v>0.10583638739540399</v>
      </c>
      <c r="F151" s="44">
        <f t="shared" si="8"/>
        <v>0.10583638739540399</v>
      </c>
      <c r="H151" s="44">
        <f t="shared" si="9"/>
        <v>7.6846711093424787E-5</v>
      </c>
      <c r="J151" s="44">
        <f t="shared" si="10"/>
        <v>-9.4736978853375611</v>
      </c>
    </row>
    <row r="152" spans="1:10">
      <c r="A152" s="44">
        <f t="shared" si="11"/>
        <v>13.899999999999967</v>
      </c>
      <c r="B152" s="44">
        <f t="shared" si="8"/>
        <v>6.8185443746921176E-2</v>
      </c>
      <c r="C152" s="44">
        <f t="shared" si="8"/>
        <v>6.8185443746921176E-2</v>
      </c>
      <c r="D152" s="44">
        <f t="shared" si="8"/>
        <v>9.9803860502595293E-2</v>
      </c>
      <c r="E152" s="44">
        <f t="shared" si="8"/>
        <v>0.10595112026212275</v>
      </c>
      <c r="F152" s="44">
        <f t="shared" si="8"/>
        <v>0.10595112026212275</v>
      </c>
      <c r="H152" s="44">
        <f t="shared" si="9"/>
        <v>7.2403004634670541E-5</v>
      </c>
      <c r="J152" s="44">
        <f t="shared" si="10"/>
        <v>-9.5332627589548498</v>
      </c>
    </row>
    <row r="153" spans="1:10">
      <c r="A153" s="44">
        <f t="shared" si="11"/>
        <v>13.999999999999966</v>
      </c>
      <c r="B153" s="44">
        <f t="shared" si="8"/>
        <v>6.6281843239346341E-2</v>
      </c>
      <c r="C153" s="44">
        <f t="shared" si="8"/>
        <v>6.6281843239346341E-2</v>
      </c>
      <c r="D153" s="44">
        <f t="shared" si="8"/>
        <v>9.8418494506907747E-2</v>
      </c>
      <c r="E153" s="44">
        <f t="shared" si="8"/>
        <v>0.10598914793051552</v>
      </c>
      <c r="F153" s="44">
        <f t="shared" si="8"/>
        <v>0.10598914793051552</v>
      </c>
      <c r="H153" s="44">
        <f t="shared" si="9"/>
        <v>6.8001220748907951E-5</v>
      </c>
      <c r="J153" s="44">
        <f t="shared" si="10"/>
        <v>-9.5959849007594826</v>
      </c>
    </row>
    <row r="154" spans="1:10">
      <c r="A154" s="44">
        <f t="shared" si="11"/>
        <v>14.099999999999966</v>
      </c>
      <c r="B154" s="44">
        <f t="shared" si="8"/>
        <v>6.4398521820422855E-2</v>
      </c>
      <c r="C154" s="44">
        <f t="shared" si="8"/>
        <v>6.4398521820422855E-2</v>
      </c>
      <c r="D154" s="44">
        <f t="shared" si="8"/>
        <v>9.6992955478168233E-2</v>
      </c>
      <c r="E154" s="44">
        <f t="shared" si="8"/>
        <v>0.10595148065172821</v>
      </c>
      <c r="F154" s="44">
        <f t="shared" si="8"/>
        <v>0.10595148065172821</v>
      </c>
      <c r="H154" s="44">
        <f t="shared" si="9"/>
        <v>6.3668579988699931E-5</v>
      </c>
      <c r="J154" s="44">
        <f t="shared" si="10"/>
        <v>-9.6618193668587793</v>
      </c>
    </row>
    <row r="155" spans="1:10">
      <c r="A155" s="44">
        <f t="shared" si="11"/>
        <v>14.199999999999966</v>
      </c>
      <c r="B155" s="44">
        <f t="shared" si="8"/>
        <v>6.2537248297353881E-2</v>
      </c>
      <c r="C155" s="44">
        <f t="shared" si="8"/>
        <v>6.2537248297353881E-2</v>
      </c>
      <c r="D155" s="44">
        <f t="shared" si="8"/>
        <v>9.5530384444533142E-2</v>
      </c>
      <c r="E155" s="44">
        <f t="shared" si="8"/>
        <v>0.10583926768898666</v>
      </c>
      <c r="F155" s="44">
        <f t="shared" si="8"/>
        <v>0.10583926768898666</v>
      </c>
      <c r="H155" s="44">
        <f t="shared" si="9"/>
        <v>5.9429360675441583E-5</v>
      </c>
      <c r="J155" s="44">
        <f t="shared" si="10"/>
        <v>-9.7307221662501373</v>
      </c>
    </row>
    <row r="156" spans="1:10">
      <c r="A156" s="44">
        <f t="shared" si="11"/>
        <v>14.299999999999965</v>
      </c>
      <c r="B156" s="44">
        <f t="shared" si="8"/>
        <v>6.0699658897296019E-2</v>
      </c>
      <c r="C156" s="44">
        <f t="shared" si="8"/>
        <v>6.0699658897296019E-2</v>
      </c>
      <c r="D156" s="44">
        <f t="shared" si="8"/>
        <v>9.4033888241727287E-2</v>
      </c>
      <c r="E156" s="44">
        <f t="shared" si="8"/>
        <v>0.10565379014588308</v>
      </c>
      <c r="F156" s="44">
        <f t="shared" si="8"/>
        <v>0.10565379014588308</v>
      </c>
      <c r="H156" s="44">
        <f t="shared" si="9"/>
        <v>5.530483428088202E-5</v>
      </c>
      <c r="J156" s="44">
        <f t="shared" si="10"/>
        <v>-9.8026502340726953</v>
      </c>
    </row>
    <row r="157" spans="1:10">
      <c r="A157" s="44">
        <f t="shared" si="11"/>
        <v>14.399999999999965</v>
      </c>
      <c r="B157" s="44">
        <f t="shared" si="8"/>
        <v>5.8887260192923348E-2</v>
      </c>
      <c r="C157" s="44">
        <f t="shared" si="8"/>
        <v>5.8887260192923348E-2</v>
      </c>
      <c r="D157" s="44">
        <f t="shared" si="8"/>
        <v>9.2506532375791858E-2</v>
      </c>
      <c r="E157" s="44">
        <f t="shared" si="8"/>
        <v>0.10539645359035223</v>
      </c>
      <c r="F157" s="44">
        <f t="shared" si="8"/>
        <v>0.10539645359035223</v>
      </c>
      <c r="H157" s="44">
        <f t="shared" si="9"/>
        <v>5.1313257632635252E-5</v>
      </c>
      <c r="J157" s="44">
        <f t="shared" si="10"/>
        <v>-9.8775614057910026</v>
      </c>
    </row>
    <row r="158" spans="1:10">
      <c r="A158" s="44">
        <f t="shared" si="11"/>
        <v>14.499999999999964</v>
      </c>
      <c r="B158" s="44">
        <f t="shared" si="8"/>
        <v>5.7101432286381787E-2</v>
      </c>
      <c r="C158" s="44">
        <f t="shared" si="8"/>
        <v>5.7101432286381787E-2</v>
      </c>
      <c r="D158" s="44">
        <f t="shared" si="8"/>
        <v>9.0951334380391755E-2</v>
      </c>
      <c r="E158" s="44">
        <f t="shared" si="8"/>
        <v>0.10506878051361139</v>
      </c>
      <c r="F158" s="44">
        <f t="shared" si="8"/>
        <v>0.10506878051361139</v>
      </c>
      <c r="H158" s="44">
        <f t="shared" si="9"/>
        <v>4.7469916126710079E-5</v>
      </c>
      <c r="J158" s="44">
        <f t="shared" si="10"/>
        <v>-9.9554143922719973</v>
      </c>
    </row>
    <row r="159" spans="1:10">
      <c r="A159" s="44">
        <f t="shared" si="11"/>
        <v>14.599999999999964</v>
      </c>
      <c r="B159" s="44">
        <f t="shared" si="8"/>
        <v>5.534343222077652E-2</v>
      </c>
      <c r="C159" s="44">
        <f t="shared" si="8"/>
        <v>5.534343222077652E-2</v>
      </c>
      <c r="D159" s="44">
        <f t="shared" si="8"/>
        <v>8.9371257668035331E-2</v>
      </c>
      <c r="E159" s="44">
        <f t="shared" si="8"/>
        <v>0.10467240266218857</v>
      </c>
      <c r="F159" s="44">
        <f t="shared" si="8"/>
        <v>0.10467240266218857</v>
      </c>
      <c r="H159" s="44">
        <f t="shared" si="9"/>
        <v>4.3787211604308572E-5</v>
      </c>
      <c r="J159" s="44">
        <f t="shared" si="10"/>
        <v>-10.036168755718514</v>
      </c>
    </row>
    <row r="160" spans="1:10">
      <c r="A160" s="44">
        <f t="shared" si="11"/>
        <v>14.699999999999964</v>
      </c>
      <c r="B160" s="44">
        <f t="shared" si="8"/>
        <v>5.3614397589610209E-2</v>
      </c>
      <c r="C160" s="44">
        <f t="shared" si="8"/>
        <v>5.3614397589610209E-2</v>
      </c>
      <c r="D160" s="44">
        <f t="shared" si="8"/>
        <v>8.7769205872263736E-2</v>
      </c>
      <c r="E160" s="44">
        <f t="shared" si="8"/>
        <v>0.1042090532798757</v>
      </c>
      <c r="F160" s="44">
        <f t="shared" si="8"/>
        <v>0.1042090532798757</v>
      </c>
      <c r="H160" s="44">
        <f t="shared" si="9"/>
        <v>4.0274788253822384E-5</v>
      </c>
      <c r="J160" s="44">
        <f t="shared" si="10"/>
        <v>-10.119784886424123</v>
      </c>
    </row>
    <row r="161" spans="1:10">
      <c r="A161" s="44">
        <f t="shared" si="11"/>
        <v>14.799999999999963</v>
      </c>
      <c r="B161" s="44">
        <f t="shared" si="8"/>
        <v>5.1915350315913843E-2</v>
      </c>
      <c r="C161" s="44">
        <f t="shared" si="8"/>
        <v>5.1915350315913843E-2</v>
      </c>
      <c r="D161" s="44">
        <f t="shared" si="8"/>
        <v>8.6148017675740221E-2</v>
      </c>
      <c r="E161" s="44">
        <f t="shared" si="8"/>
        <v>0.10368055929502223</v>
      </c>
      <c r="F161" s="44">
        <f t="shared" si="8"/>
        <v>0.10368055929502223</v>
      </c>
      <c r="H161" s="44">
        <f t="shared" si="9"/>
        <v>3.6939689811584759E-5</v>
      </c>
      <c r="J161" s="44">
        <f t="shared" si="10"/>
        <v>-10.206223980316016</v>
      </c>
    </row>
    <row r="162" spans="1:10">
      <c r="A162" s="44">
        <f t="shared" si="11"/>
        <v>14.899999999999963</v>
      </c>
      <c r="B162" s="44">
        <f t="shared" si="8"/>
        <v>5.0247200574180438E-2</v>
      </c>
      <c r="C162" s="44">
        <f t="shared" si="8"/>
        <v>5.0247200574180438E-2</v>
      </c>
      <c r="D162" s="44">
        <f t="shared" si="8"/>
        <v>8.4510462117225335E-2</v>
      </c>
      <c r="E162" s="44">
        <f t="shared" si="8"/>
        <v>0.10308883348706102</v>
      </c>
      <c r="F162" s="44">
        <f t="shared" si="8"/>
        <v>0.10308883348706102</v>
      </c>
      <c r="H162" s="44">
        <f t="shared" si="9"/>
        <v>3.3786541432073686E-5</v>
      </c>
      <c r="J162" s="44">
        <f t="shared" si="10"/>
        <v>-10.295448017254023</v>
      </c>
    </row>
    <row r="163" spans="1:10">
      <c r="A163" s="44">
        <f t="shared" si="11"/>
        <v>14.999999999999963</v>
      </c>
      <c r="B163" s="44">
        <f t="shared" si="8"/>
        <v>4.8610750829605934E-2</v>
      </c>
      <c r="C163" s="44">
        <f t="shared" si="8"/>
        <v>4.8610750829605934E-2</v>
      </c>
      <c r="D163" s="44">
        <f t="shared" si="8"/>
        <v>8.2859234368646048E-2</v>
      </c>
      <c r="E163" s="44">
        <f t="shared" si="8"/>
        <v>0.10243586666453446</v>
      </c>
      <c r="F163" s="44">
        <f t="shared" si="8"/>
        <v>0.10243586666453446</v>
      </c>
      <c r="H163" s="44">
        <f t="shared" si="9"/>
        <v>3.0817749852824906E-5</v>
      </c>
      <c r="J163" s="44">
        <f t="shared" si="10"/>
        <v>-10.38741974005543</v>
      </c>
    </row>
    <row r="164" spans="1:10">
      <c r="A164" s="44">
        <f t="shared" si="11"/>
        <v>15.099999999999962</v>
      </c>
      <c r="B164" s="44">
        <f t="shared" si="8"/>
        <v>4.7006699970555635E-2</v>
      </c>
      <c r="C164" s="44">
        <f t="shared" si="8"/>
        <v>4.7006699970555635E-2</v>
      </c>
      <c r="D164" s="44">
        <f t="shared" si="8"/>
        <v>8.1196951971866202E-2</v>
      </c>
      <c r="E164" s="44">
        <f t="shared" si="8"/>
        <v>0.10172371988519295</v>
      </c>
      <c r="F164" s="44">
        <f t="shared" si="8"/>
        <v>0.10172371988519295</v>
      </c>
      <c r="H164" s="44">
        <f t="shared" si="9"/>
        <v>2.8033715863022476E-5</v>
      </c>
      <c r="J164" s="44">
        <f t="shared" si="10"/>
        <v>-10.482102634216647</v>
      </c>
    </row>
    <row r="165" spans="1:10">
      <c r="A165" s="44">
        <f t="shared" si="11"/>
        <v>15.199999999999962</v>
      </c>
      <c r="B165" s="44">
        <f t="shared" si="8"/>
        <v>4.5435647511594852E-2</v>
      </c>
      <c r="C165" s="44">
        <f t="shared" si="8"/>
        <v>4.5435647511594852E-2</v>
      </c>
      <c r="D165" s="44">
        <f t="shared" si="8"/>
        <v>7.9526151523324415E-2</v>
      </c>
      <c r="E165" s="44">
        <f t="shared" si="8"/>
        <v>0.10095451674697133</v>
      </c>
      <c r="F165" s="44">
        <f t="shared" si="8"/>
        <v>0.10095451674697133</v>
      </c>
      <c r="H165" s="44">
        <f t="shared" si="9"/>
        <v>2.5433053569166835E-5</v>
      </c>
      <c r="J165" s="44">
        <f t="shared" si="10"/>
        <v>-10.579460908304169</v>
      </c>
    </row>
    <row r="166" spans="1:10">
      <c r="A166" s="44">
        <f t="shared" si="11"/>
        <v>15.299999999999962</v>
      </c>
      <c r="B166" s="44">
        <f t="shared" si="8"/>
        <v>4.3898097845843635E-2</v>
      </c>
      <c r="C166" s="44">
        <f t="shared" si="8"/>
        <v>4.3898097845843635E-2</v>
      </c>
      <c r="D166" s="44">
        <f t="shared" si="8"/>
        <v>7.7849285793435488E-2</v>
      </c>
      <c r="E166" s="44">
        <f t="shared" si="8"/>
        <v>0.1001304357768419</v>
      </c>
      <c r="F166" s="44">
        <f t="shared" si="8"/>
        <v>0.1001304357768419</v>
      </c>
      <c r="H166" s="44">
        <f t="shared" si="9"/>
        <v>2.3012811508895705E-5</v>
      </c>
      <c r="J166" s="44">
        <f t="shared" si="10"/>
        <v>-10.679459474988462</v>
      </c>
    </row>
    <row r="167" spans="1:10">
      <c r="A167" s="44">
        <f t="shared" si="11"/>
        <v>15.399999999999961</v>
      </c>
      <c r="B167" s="44">
        <f t="shared" si="8"/>
        <v>4.2394464526826707E-2</v>
      </c>
      <c r="C167" s="44">
        <f t="shared" si="8"/>
        <v>4.2394464526826707E-2</v>
      </c>
      <c r="D167" s="44">
        <f t="shared" si="8"/>
        <v>7.6168721266531611E-2</v>
      </c>
      <c r="E167" s="44">
        <f t="shared" si="8"/>
        <v>9.9253702942695296E-2</v>
      </c>
      <c r="F167" s="44">
        <f t="shared" ref="B167:F218" si="12">(($A167^F$12)*(EXP(-$A167)))/(FACT(F$12))</f>
        <v>9.9253702942695296E-2</v>
      </c>
      <c r="H167" s="44">
        <f t="shared" si="9"/>
        <v>2.0768691269128861E-5</v>
      </c>
      <c r="J167" s="44">
        <f t="shared" si="10"/>
        <v>-10.78206393269565</v>
      </c>
    </row>
    <row r="168" spans="1:10">
      <c r="A168" s="44">
        <f t="shared" si="11"/>
        <v>15.499999999999961</v>
      </c>
      <c r="B168" s="44">
        <f t="shared" si="12"/>
        <v>4.092507456138459E-2</v>
      </c>
      <c r="C168" s="44">
        <f t="shared" si="12"/>
        <v>4.092507456138459E-2</v>
      </c>
      <c r="D168" s="44">
        <f t="shared" si="12"/>
        <v>7.4486736086156052E-2</v>
      </c>
      <c r="E168" s="44">
        <f t="shared" si="12"/>
        <v>9.832658431153242E-2</v>
      </c>
      <c r="F168" s="44">
        <f t="shared" si="12"/>
        <v>9.832658431153242E-2</v>
      </c>
      <c r="H168" s="44">
        <f t="shared" si="9"/>
        <v>1.8695259893755449E-5</v>
      </c>
      <c r="J168" s="44">
        <f t="shared" si="10"/>
        <v>-10.887240547852985</v>
      </c>
    </row>
    <row r="169" spans="1:10">
      <c r="A169" s="44">
        <f t="shared" si="11"/>
        <v>15.599999999999961</v>
      </c>
      <c r="B169" s="44">
        <f t="shared" si="12"/>
        <v>3.9490172696584142E-2</v>
      </c>
      <c r="C169" s="44">
        <f t="shared" si="12"/>
        <v>3.9490172696584142E-2</v>
      </c>
      <c r="D169" s="44">
        <f t="shared" si="12"/>
        <v>7.2805518389702034E-2</v>
      </c>
      <c r="E169" s="44">
        <f t="shared" si="12"/>
        <v>9.7351378875372499E-2</v>
      </c>
      <c r="F169" s="44">
        <f t="shared" si="12"/>
        <v>9.7351378875372499E-2</v>
      </c>
      <c r="H169" s="44">
        <f t="shared" si="9"/>
        <v>1.6786152998345555E-5</v>
      </c>
      <c r="J169" s="44">
        <f t="shared" si="10"/>
        <v>-10.994956237705265</v>
      </c>
    </row>
    <row r="170" spans="1:10">
      <c r="A170" s="44">
        <f t="shared" si="11"/>
        <v>15.69999999999996</v>
      </c>
      <c r="B170" s="44">
        <f t="shared" si="12"/>
        <v>3.8089925684911187E-2</v>
      </c>
      <c r="C170" s="44">
        <f t="shared" si="12"/>
        <v>3.8089925684911187E-2</v>
      </c>
      <c r="D170" s="44">
        <f t="shared" si="12"/>
        <v>7.1127165015709926E-2</v>
      </c>
      <c r="E170" s="44">
        <f t="shared" si="12"/>
        <v>9.6330411564407969E-2</v>
      </c>
      <c r="F170" s="44">
        <f t="shared" si="12"/>
        <v>9.6330411564407969E-2</v>
      </c>
      <c r="H170" s="44">
        <f t="shared" si="9"/>
        <v>1.503426612713891E-5</v>
      </c>
      <c r="J170" s="44">
        <f t="shared" si="10"/>
        <v>-11.105178553680229</v>
      </c>
    </row>
    <row r="171" spans="1:10">
      <c r="A171" s="44">
        <f t="shared" si="11"/>
        <v>15.79999999999996</v>
      </c>
      <c r="B171" s="44">
        <f t="shared" si="12"/>
        <v>3.6724426513337918E-2</v>
      </c>
      <c r="C171" s="44">
        <f t="shared" si="12"/>
        <v>3.6724426513337918E-2</v>
      </c>
      <c r="D171" s="44">
        <f t="shared" si="12"/>
        <v>6.9453680566588114E-2</v>
      </c>
      <c r="E171" s="44">
        <f t="shared" si="12"/>
        <v>9.5266026465071249E-2</v>
      </c>
      <c r="F171" s="44">
        <f t="shared" si="12"/>
        <v>9.5266026465071249E-2</v>
      </c>
      <c r="H171" s="44">
        <f t="shared" si="9"/>
        <v>1.3431932476256394E-5</v>
      </c>
      <c r="J171" s="44">
        <f t="shared" si="10"/>
        <v>-11.217875665282046</v>
      </c>
    </row>
    <row r="172" spans="1:10">
      <c r="A172" s="44">
        <f t="shared" si="11"/>
        <v>15.899999999999959</v>
      </c>
      <c r="B172" s="44">
        <f t="shared" si="12"/>
        <v>3.5393698583130309E-2</v>
      </c>
      <c r="C172" s="44">
        <f t="shared" si="12"/>
        <v>3.5393698583130309E-2</v>
      </c>
      <c r="D172" s="44">
        <f t="shared" si="12"/>
        <v>6.7786976809099467E-2</v>
      </c>
      <c r="E172" s="44">
        <f t="shared" si="12"/>
        <v>9.4160580258837084E-2</v>
      </c>
      <c r="F172" s="44">
        <f t="shared" si="12"/>
        <v>9.4160580258837084E-2</v>
      </c>
      <c r="H172" s="44">
        <f t="shared" si="9"/>
        <v>1.1971085655231339E-5</v>
      </c>
      <c r="J172" s="44">
        <f t="shared" si="10"/>
        <v>-11.333016344492895</v>
      </c>
    </row>
    <row r="173" spans="1:10">
      <c r="A173" s="44">
        <f t="shared" si="11"/>
        <v>15.999999999999959</v>
      </c>
      <c r="B173" s="44">
        <f t="shared" si="12"/>
        <v>3.4097699828491798E-2</v>
      </c>
      <c r="C173" s="44">
        <f t="shared" si="12"/>
        <v>3.4097699828491798E-2</v>
      </c>
      <c r="D173" s="44">
        <f t="shared" si="12"/>
        <v>6.6128872394650429E-2</v>
      </c>
      <c r="E173" s="44">
        <f t="shared" si="12"/>
        <v>9.3016435895771549E-2</v>
      </c>
      <c r="F173" s="44">
        <f t="shared" si="12"/>
        <v>9.3016435895771549E-2</v>
      </c>
      <c r="H173" s="44">
        <f t="shared" si="9"/>
        <v>1.0643406658086174E-5</v>
      </c>
      <c r="J173" s="44">
        <f t="shared" si="10"/>
        <v>-11.450569950663576</v>
      </c>
    </row>
    <row r="174" spans="1:10">
      <c r="A174" s="44">
        <f t="shared" si="11"/>
        <v>16.099999999999959</v>
      </c>
      <c r="B174" s="44">
        <f t="shared" si="12"/>
        <v>3.2836326763326699E-2</v>
      </c>
      <c r="C174" s="44">
        <f t="shared" si="12"/>
        <v>3.2836326763326699E-2</v>
      </c>
      <c r="D174" s="44">
        <f t="shared" si="12"/>
        <v>6.4481092881226276E-2</v>
      </c>
      <c r="E174" s="44">
        <f t="shared" si="12"/>
        <v>9.1835956515069109E-2</v>
      </c>
      <c r="F174" s="44">
        <f t="shared" si="12"/>
        <v>9.1835956515069109E-2</v>
      </c>
      <c r="H174" s="44">
        <f t="shared" si="9"/>
        <v>9.4404546595875017E-6</v>
      </c>
      <c r="J174" s="44">
        <f t="shared" si="10"/>
        <v>-11.570506415874773</v>
      </c>
    </row>
    <row r="175" spans="1:10">
      <c r="A175" s="44">
        <f t="shared" si="11"/>
        <v>16.19999999999996</v>
      </c>
      <c r="B175" s="44">
        <f t="shared" si="12"/>
        <v>3.1609418446545148E-2</v>
      </c>
      <c r="C175" s="44">
        <f t="shared" si="12"/>
        <v>3.1609418446545148E-2</v>
      </c>
      <c r="D175" s="44">
        <f t="shared" si="12"/>
        <v>6.2845271038721714E-2</v>
      </c>
      <c r="E175" s="44">
        <f t="shared" si="12"/>
        <v>9.0621499623088159E-2</v>
      </c>
      <c r="F175" s="44">
        <f t="shared" si="12"/>
        <v>9.0621499623088159E-2</v>
      </c>
      <c r="H175" s="44">
        <f t="shared" si="9"/>
        <v>8.3537816387982075E-6</v>
      </c>
      <c r="J175" s="44">
        <f t="shared" si="10"/>
        <v>-11.692796230751592</v>
      </c>
    </row>
    <row r="176" spans="1:10">
      <c r="A176" s="44">
        <f t="shared" si="11"/>
        <v>16.299999999999962</v>
      </c>
      <c r="B176" s="44">
        <f t="shared" si="12"/>
        <v>3.0416760357423359E-2</v>
      </c>
      <c r="C176" s="44">
        <f t="shared" si="12"/>
        <v>3.0416760357423359E-2</v>
      </c>
      <c r="D176" s="44">
        <f t="shared" si="12"/>
        <v>6.1222947419422531E-2</v>
      </c>
      <c r="E176" s="44">
        <f t="shared" si="12"/>
        <v>8.9375411537726893E-2</v>
      </c>
      <c r="F176" s="44">
        <f t="shared" si="12"/>
        <v>8.9375411537726893E-2</v>
      </c>
      <c r="H176" s="44">
        <f t="shared" si="9"/>
        <v>7.3750311596168913E-6</v>
      </c>
      <c r="J176" s="44">
        <f t="shared" si="10"/>
        <v>-11.817410430714517</v>
      </c>
    </row>
    <row r="177" spans="1:10">
      <c r="A177" s="44">
        <f t="shared" si="11"/>
        <v>16.399999999999963</v>
      </c>
      <c r="B177" s="44">
        <f t="shared" si="12"/>
        <v>2.9258088173570951E-2</v>
      </c>
      <c r="C177" s="44">
        <f t="shared" si="12"/>
        <v>2.9258088173570951E-2</v>
      </c>
      <c r="D177" s="44">
        <f t="shared" si="12"/>
        <v>5.9615571175481885E-2</v>
      </c>
      <c r="E177" s="44">
        <f t="shared" si="12"/>
        <v>8.8100022106360074E-2</v>
      </c>
      <c r="F177" s="44">
        <f t="shared" si="12"/>
        <v>8.8100022106360074E-2</v>
      </c>
      <c r="H177" s="44">
        <f t="shared" si="9"/>
        <v>6.4960219074980046E-6</v>
      </c>
      <c r="J177" s="44">
        <f t="shared" si="10"/>
        <v>-11.944320582650915</v>
      </c>
    </row>
    <row r="178" spans="1:10">
      <c r="A178" s="44">
        <f t="shared" si="11"/>
        <v>16.499999999999964</v>
      </c>
      <c r="B178" s="44">
        <f t="shared" si="12"/>
        <v>2.8133091445047418E-2</v>
      </c>
      <c r="C178" s="44">
        <f t="shared" si="12"/>
        <v>2.8133091445047418E-2</v>
      </c>
      <c r="D178" s="44">
        <f t="shared" si="12"/>
        <v>5.8024501105410041E-2</v>
      </c>
      <c r="E178" s="44">
        <f t="shared" si="12"/>
        <v>8.6797639703009952E-2</v>
      </c>
      <c r="F178" s="44">
        <f t="shared" si="12"/>
        <v>8.6797639703009952E-2</v>
      </c>
      <c r="H178" s="44">
        <f t="shared" si="9"/>
        <v>5.7088167953666521E-6</v>
      </c>
      <c r="J178" s="44">
        <f t="shared" si="10"/>
        <v>-12.073498771991606</v>
      </c>
    </row>
    <row r="179" spans="1:10">
      <c r="A179" s="44">
        <f t="shared" si="11"/>
        <v>16.599999999999966</v>
      </c>
      <c r="B179" s="44">
        <f t="shared" si="12"/>
        <v>2.7041417159104311E-2</v>
      </c>
      <c r="C179" s="44">
        <f t="shared" si="12"/>
        <v>2.7041417159104311E-2</v>
      </c>
      <c r="D179" s="44">
        <f t="shared" si="12"/>
        <v>5.6451006911839047E-2</v>
      </c>
      <c r="E179" s="44">
        <f t="shared" si="12"/>
        <v>8.5470546508935735E-2</v>
      </c>
      <c r="F179" s="44">
        <f t="shared" si="12"/>
        <v>8.5470546508935735E-2</v>
      </c>
      <c r="H179" s="44">
        <f t="shared" si="9"/>
        <v>5.0057786134281631E-6</v>
      </c>
      <c r="J179" s="44">
        <f t="shared" si="10"/>
        <v>-12.204917590177885</v>
      </c>
    </row>
    <row r="180" spans="1:10">
      <c r="A180" s="44">
        <f t="shared" si="11"/>
        <v>16.699999999999967</v>
      </c>
      <c r="B180" s="44">
        <f t="shared" si="12"/>
        <v>2.598267319091381E-2</v>
      </c>
      <c r="C180" s="44">
        <f t="shared" si="12"/>
        <v>2.598267319091381E-2</v>
      </c>
      <c r="D180" s="44">
        <f t="shared" si="12"/>
        <v>5.4896270653135786E-2</v>
      </c>
      <c r="E180" s="44">
        <f t="shared" si="12"/>
        <v>8.4120994079411968E-2</v>
      </c>
      <c r="F180" s="44">
        <f t="shared" si="12"/>
        <v>8.4120994079411968E-2</v>
      </c>
      <c r="H180" s="44">
        <f t="shared" si="9"/>
        <v>4.3796133115612043E-6</v>
      </c>
      <c r="J180" s="44">
        <f t="shared" si="10"/>
        <v>-12.338550122504961</v>
      </c>
    </row>
    <row r="181" spans="1:10">
      <c r="A181" s="44">
        <f t="shared" si="11"/>
        <v>16.799999999999969</v>
      </c>
      <c r="B181" s="44">
        <f t="shared" si="12"/>
        <v>2.495643163647538E-2</v>
      </c>
      <c r="C181" s="44">
        <f t="shared" si="12"/>
        <v>2.495643163647538E-2</v>
      </c>
      <c r="D181" s="44">
        <f t="shared" si="12"/>
        <v>5.3361388371808968E-2</v>
      </c>
      <c r="E181" s="44">
        <f t="shared" si="12"/>
        <v>8.2751199198128067E-2</v>
      </c>
      <c r="F181" s="44">
        <f t="shared" si="12"/>
        <v>8.2751199198128067E-2</v>
      </c>
      <c r="H181" s="44">
        <f t="shared" si="9"/>
        <v>3.823402074284001E-6</v>
      </c>
      <c r="J181" s="44">
        <f t="shared" si="10"/>
        <v>-12.474369936328232</v>
      </c>
    </row>
    <row r="182" spans="1:10">
      <c r="A182" s="44">
        <f t="shared" si="11"/>
        <v>16.89999999999997</v>
      </c>
      <c r="B182" s="44">
        <f t="shared" si="12"/>
        <v>2.3962232024671043E-2</v>
      </c>
      <c r="C182" s="44">
        <f t="shared" si="12"/>
        <v>2.3962232024671043E-2</v>
      </c>
      <c r="D182" s="44">
        <f t="shared" si="12"/>
        <v>5.1847371883077822E-2</v>
      </c>
      <c r="E182" s="44">
        <f t="shared" si="12"/>
        <v>8.1363340019372551E-2</v>
      </c>
      <c r="F182" s="44">
        <f t="shared" si="12"/>
        <v>8.1363340019372551E-2</v>
      </c>
      <c r="H182" s="44">
        <f t="shared" si="9"/>
        <v>3.3306233822353009E-6</v>
      </c>
      <c r="J182" s="44">
        <f t="shared" si="10"/>
        <v>-12.612351069619542</v>
      </c>
    </row>
    <row r="183" spans="1:10">
      <c r="A183" s="44">
        <f t="shared" si="11"/>
        <v>16.999999999999972</v>
      </c>
      <c r="B183" s="44">
        <f t="shared" si="12"/>
        <v>2.2999584406166621E-2</v>
      </c>
      <c r="C183" s="44">
        <f t="shared" si="12"/>
        <v>2.2999584406166621E-2</v>
      </c>
      <c r="D183" s="44">
        <f t="shared" si="12"/>
        <v>5.0355150707440378E-2</v>
      </c>
      <c r="E183" s="44">
        <f t="shared" si="12"/>
        <v>7.9959552496979239E-2</v>
      </c>
      <c r="F183" s="44">
        <f t="shared" si="12"/>
        <v>7.9959552496979239E-2</v>
      </c>
      <c r="H183" s="44">
        <f t="shared" si="9"/>
        <v>2.8951662561653135E-6</v>
      </c>
      <c r="J183" s="44">
        <f t="shared" si="10"/>
        <v>-12.752468019861057</v>
      </c>
    </row>
    <row r="184" spans="1:10">
      <c r="A184" s="44">
        <f t="shared" si="11"/>
        <v>17.099999999999973</v>
      </c>
      <c r="B184" s="44">
        <f t="shared" si="12"/>
        <v>2.2067972317533952E-2</v>
      </c>
      <c r="C184" s="44">
        <f t="shared" si="12"/>
        <v>2.2067972317533952E-2</v>
      </c>
      <c r="D184" s="44">
        <f t="shared" si="12"/>
        <v>4.8885574131591537E-2</v>
      </c>
      <c r="E184" s="44">
        <f t="shared" si="12"/>
        <v>7.8541927097904585E-2</v>
      </c>
      <c r="F184" s="44">
        <f t="shared" si="12"/>
        <v>7.8541927097904585E-2</v>
      </c>
      <c r="H184" s="44">
        <f t="shared" si="9"/>
        <v>2.5113358549587602E-6</v>
      </c>
      <c r="J184" s="44">
        <f t="shared" si="10"/>
        <v>-12.894695733264779</v>
      </c>
    </row>
    <row r="185" spans="1:10">
      <c r="A185" s="44">
        <f t="shared" si="11"/>
        <v>17.199999999999974</v>
      </c>
      <c r="B185" s="44">
        <f t="shared" si="12"/>
        <v>2.1166855619595304E-2</v>
      </c>
      <c r="C185" s="44">
        <f t="shared" si="12"/>
        <v>2.1166855619595304E-2</v>
      </c>
      <c r="D185" s="44">
        <f t="shared" si="12"/>
        <v>4.743941338258377E-2</v>
      </c>
      <c r="E185" s="44">
        <f t="shared" si="12"/>
        <v>7.7112505797272204E-2</v>
      </c>
      <c r="F185" s="44">
        <f t="shared" si="12"/>
        <v>7.7112505797272204E-2</v>
      </c>
      <c r="H185" s="44">
        <f t="shared" si="9"/>
        <v>2.1738525533609125E-6</v>
      </c>
      <c r="J185" s="44">
        <f t="shared" si="10"/>
        <v>-13.039009594306393</v>
      </c>
    </row>
    <row r="186" spans="1:10">
      <c r="A186" s="44">
        <f t="shared" si="11"/>
        <v>17.299999999999976</v>
      </c>
      <c r="B186" s="44">
        <f t="shared" si="12"/>
        <v>2.0295673209570073E-2</v>
      </c>
      <c r="C186" s="44">
        <f t="shared" si="12"/>
        <v>2.0295673209570073E-2</v>
      </c>
      <c r="D186" s="44">
        <f t="shared" si="12"/>
        <v>4.6017363900698556E-2</v>
      </c>
      <c r="E186" s="44">
        <f t="shared" si="12"/>
        <v>7.567327935076941E-2</v>
      </c>
      <c r="F186" s="44">
        <f t="shared" si="12"/>
        <v>7.567327935076941E-2</v>
      </c>
      <c r="H186" s="44">
        <f t="shared" si="9"/>
        <v>1.8778455626646853E-6</v>
      </c>
      <c r="J186" s="44">
        <f t="shared" si="10"/>
        <v>-13.185385415562516</v>
      </c>
    </row>
    <row r="187" spans="1:10">
      <c r="A187" s="44">
        <f t="shared" si="11"/>
        <v>17.399999999999977</v>
      </c>
      <c r="B187" s="44">
        <f t="shared" si="12"/>
        <v>1.9453845607136314E-2</v>
      </c>
      <c r="C187" s="44">
        <f t="shared" si="12"/>
        <v>1.9453845607136314E-2</v>
      </c>
      <c r="D187" s="44">
        <f t="shared" si="12"/>
        <v>4.4620047697095273E-2</v>
      </c>
      <c r="E187" s="44">
        <f t="shared" si="12"/>
        <v>7.4226184839409501E-2</v>
      </c>
      <c r="F187" s="44">
        <f t="shared" si="12"/>
        <v>7.4226184839409501E-2</v>
      </c>
      <c r="H187" s="44">
        <f t="shared" si="9"/>
        <v>1.6188420830400494E-6</v>
      </c>
      <c r="J187" s="44">
        <f t="shared" si="10"/>
        <v>-13.333799427840763</v>
      </c>
    </row>
    <row r="188" spans="1:10">
      <c r="A188" s="44">
        <f t="shared" si="11"/>
        <v>17.499999999999979</v>
      </c>
      <c r="B188" s="44">
        <f t="shared" si="12"/>
        <v>1.8640777415005031E-2</v>
      </c>
      <c r="C188" s="44">
        <f t="shared" si="12"/>
        <v>1.8640777415005031E-2</v>
      </c>
      <c r="D188" s="44">
        <f t="shared" si="12"/>
        <v>4.3248015782918772E-2</v>
      </c>
      <c r="E188" s="44">
        <f t="shared" si="12"/>
        <v>7.277310348087275E-2</v>
      </c>
      <c r="F188" s="44">
        <f t="shared" si="12"/>
        <v>7.277310348087275E-2</v>
      </c>
      <c r="H188" s="44">
        <f t="shared" si="9"/>
        <v>1.3927528933754075E-6</v>
      </c>
      <c r="J188" s="44">
        <f t="shared" si="10"/>
        <v>-13.484228270592675</v>
      </c>
    </row>
    <row r="189" spans="1:10">
      <c r="A189" s="44">
        <f t="shared" si="11"/>
        <v>17.59999999999998</v>
      </c>
      <c r="B189" s="44">
        <f t="shared" si="12"/>
        <v>1.7855859655048358E-2</v>
      </c>
      <c r="C189" s="44">
        <f t="shared" si="12"/>
        <v>1.7855859655048358E-2</v>
      </c>
      <c r="D189" s="44">
        <f t="shared" si="12"/>
        <v>4.1901750657180055E-2</v>
      </c>
      <c r="E189" s="44">
        <f t="shared" si="12"/>
        <v>7.131585870092344E-2</v>
      </c>
      <c r="F189" s="44">
        <f t="shared" si="12"/>
        <v>7.131585870092344E-2</v>
      </c>
      <c r="H189" s="44">
        <f t="shared" si="9"/>
        <v>1.1958551968904942E-6</v>
      </c>
      <c r="J189" s="44">
        <f t="shared" si="10"/>
        <v>-13.636648982599777</v>
      </c>
    </row>
    <row r="190" spans="1:10">
      <c r="A190" s="44">
        <f t="shared" si="11"/>
        <v>17.699999999999982</v>
      </c>
      <c r="B190" s="44">
        <f t="shared" si="12"/>
        <v>1.7098471981423297E-2</v>
      </c>
      <c r="C190" s="44">
        <f t="shared" si="12"/>
        <v>1.7098471981423297E-2</v>
      </c>
      <c r="D190" s="44">
        <f t="shared" si="12"/>
        <v>4.0581668841364341E-2</v>
      </c>
      <c r="E190" s="44">
        <f t="shared" si="12"/>
        <v>6.9856214457752794E-2</v>
      </c>
      <c r="F190" s="44">
        <f t="shared" si="12"/>
        <v>6.9856214457752794E-2</v>
      </c>
      <c r="H190" s="44">
        <f t="shared" si="9"/>
        <v>1.0247734513016412E-6</v>
      </c>
      <c r="J190" s="44">
        <f t="shared" si="10"/>
        <v>-13.791038992923463</v>
      </c>
    </row>
    <row r="191" spans="1:10">
      <c r="A191" s="44">
        <f t="shared" si="11"/>
        <v>17.799999999999983</v>
      </c>
      <c r="B191" s="44">
        <f t="shared" si="12"/>
        <v>1.6367984772492551E-2</v>
      </c>
      <c r="C191" s="44">
        <f t="shared" si="12"/>
        <v>1.6367984772492551E-2</v>
      </c>
      <c r="D191" s="44">
        <f t="shared" si="12"/>
        <v>3.9288123449367655E-2</v>
      </c>
      <c r="E191" s="44">
        <f t="shared" si="12"/>
        <v>6.8395873811525426E-2</v>
      </c>
      <c r="F191" s="44">
        <f t="shared" si="12"/>
        <v>6.8395873811525426E-2</v>
      </c>
      <c r="H191" s="44">
        <f t="shared" si="9"/>
        <v>8.7645882341381712E-7</v>
      </c>
      <c r="J191" s="44">
        <f t="shared" si="10"/>
        <v>-13.947376112109843</v>
      </c>
    </row>
    <row r="192" spans="1:10">
      <c r="A192" s="44">
        <f t="shared" si="11"/>
        <v>17.899999999999984</v>
      </c>
      <c r="B192" s="44">
        <f t="shared" si="12"/>
        <v>1.5663761103666084E-2</v>
      </c>
      <c r="C192" s="44">
        <f t="shared" si="12"/>
        <v>1.5663761103666084E-2</v>
      </c>
      <c r="D192" s="44">
        <f t="shared" si="12"/>
        <v>3.8021406782012435E-2</v>
      </c>
      <c r="E192" s="44">
        <f t="shared" si="12"/>
        <v>6.6936477730904304E-2</v>
      </c>
      <c r="F192" s="44">
        <f t="shared" si="12"/>
        <v>6.6936477730904304E-2</v>
      </c>
      <c r="H192" s="44">
        <f t="shared" si="9"/>
        <v>7.4816782165100797E-7</v>
      </c>
      <c r="J192" s="44">
        <f t="shared" si="10"/>
        <v>-14.105638523640986</v>
      </c>
    </row>
    <row r="193" spans="1:10">
      <c r="A193" s="44">
        <f t="shared" si="11"/>
        <v>17.999999999999986</v>
      </c>
      <c r="B193" s="44">
        <f t="shared" si="12"/>
        <v>1.4985158603572567E-2</v>
      </c>
      <c r="C193" s="44">
        <f t="shared" si="12"/>
        <v>1.4985158603572567E-2</v>
      </c>
      <c r="D193" s="44">
        <f t="shared" si="12"/>
        <v>3.6781752936041703E-2</v>
      </c>
      <c r="E193" s="44">
        <f t="shared" si="12"/>
        <v>6.54796041278983E-2</v>
      </c>
      <c r="F193" s="44">
        <f t="shared" si="12"/>
        <v>6.54796041278983E-2</v>
      </c>
      <c r="H193" s="44">
        <f t="shared" si="9"/>
        <v>6.3744057775421841E-7</v>
      </c>
      <c r="J193" s="44">
        <f t="shared" si="10"/>
        <v>-14.265804775624211</v>
      </c>
    </row>
    <row r="194" spans="1:10">
      <c r="A194" s="44">
        <f t="shared" si="11"/>
        <v>18.099999999999987</v>
      </c>
      <c r="B194" s="44">
        <f t="shared" si="12"/>
        <v>1.4331531196219945E-2</v>
      </c>
      <c r="C194" s="44">
        <f t="shared" si="12"/>
        <v>1.4331531196219945E-2</v>
      </c>
      <c r="D194" s="44">
        <f t="shared" si="12"/>
        <v>3.5569340418133408E-2</v>
      </c>
      <c r="E194" s="44">
        <f t="shared" si="12"/>
        <v>6.4026767112003669E-2</v>
      </c>
      <c r="F194" s="44">
        <f t="shared" si="12"/>
        <v>6.4026767112003669E-2</v>
      </c>
      <c r="H194" s="44">
        <f t="shared" si="9"/>
        <v>5.4207917181682712E-7</v>
      </c>
      <c r="J194" s="44">
        <f t="shared" si="10"/>
        <v>-14.427853772711673</v>
      </c>
    </row>
    <row r="195" spans="1:10">
      <c r="A195" s="44">
        <f t="shared" si="11"/>
        <v>18.199999999999989</v>
      </c>
      <c r="B195" s="44">
        <f t="shared" si="12"/>
        <v>1.3702230732022777E-2</v>
      </c>
      <c r="C195" s="44">
        <f t="shared" si="12"/>
        <v>1.3702230732022777E-2</v>
      </c>
      <c r="D195" s="44">
        <f t="shared" si="12"/>
        <v>3.4384294755115299E-2</v>
      </c>
      <c r="E195" s="44">
        <f t="shared" si="12"/>
        <v>6.2579416454309755E-2</v>
      </c>
      <c r="F195" s="44">
        <f t="shared" si="12"/>
        <v>6.2579416454309755E-2</v>
      </c>
      <c r="H195" s="44">
        <f t="shared" si="9"/>
        <v>4.6012632378369059E-7</v>
      </c>
      <c r="J195" s="44">
        <f t="shared" si="10"/>
        <v>-14.591764768242529</v>
      </c>
    </row>
    <row r="196" spans="1:10">
      <c r="A196" s="44">
        <f t="shared" si="11"/>
        <v>18.29999999999999</v>
      </c>
      <c r="B196" s="44">
        <f t="shared" si="12"/>
        <v>1.3096608510760903E-2</v>
      </c>
      <c r="C196" s="44">
        <f t="shared" si="12"/>
        <v>1.3096608510760903E-2</v>
      </c>
      <c r="D196" s="44">
        <f t="shared" si="12"/>
        <v>3.3226691092187226E-2</v>
      </c>
      <c r="E196" s="44">
        <f t="shared" si="12"/>
        <v>6.113893725199214E-2</v>
      </c>
      <c r="F196" s="44">
        <f t="shared" si="12"/>
        <v>6.113893725199214E-2</v>
      </c>
      <c r="H196" s="44">
        <f t="shared" si="9"/>
        <v>3.8984471000157049E-7</v>
      </c>
      <c r="J196" s="44">
        <f t="shared" si="10"/>
        <v>-14.757517356600372</v>
      </c>
    </row>
    <row r="197" spans="1:10">
      <c r="A197" s="44">
        <f t="shared" si="11"/>
        <v>18.399999999999991</v>
      </c>
      <c r="B197" s="44">
        <f t="shared" si="12"/>
        <v>1.2514016699692024E-2</v>
      </c>
      <c r="C197" s="44">
        <f t="shared" si="12"/>
        <v>1.2514016699692024E-2</v>
      </c>
      <c r="D197" s="44">
        <f t="shared" si="12"/>
        <v>3.2096556771573692E-2</v>
      </c>
      <c r="E197" s="44">
        <f t="shared" si="12"/>
        <v>5.9706649783428455E-2</v>
      </c>
      <c r="F197" s="44">
        <f t="shared" si="12"/>
        <v>5.9706649783428455E-2</v>
      </c>
      <c r="H197" s="44">
        <f t="shared" si="9"/>
        <v>3.2969710560601028E-7</v>
      </c>
      <c r="J197" s="44">
        <f t="shared" si="10"/>
        <v>-14.92509146577893</v>
      </c>
    </row>
    <row r="198" spans="1:10">
      <c r="A198" s="44">
        <f t="shared" si="11"/>
        <v>18.499999999999993</v>
      </c>
      <c r="B198" s="44">
        <f t="shared" si="12"/>
        <v>1.1953809650171803E-2</v>
      </c>
      <c r="C198" s="44">
        <f t="shared" si="12"/>
        <v>1.1953809650171803E-2</v>
      </c>
      <c r="D198" s="44">
        <f t="shared" si="12"/>
        <v>3.0993873884631037E-2</v>
      </c>
      <c r="E198" s="44">
        <f t="shared" si="12"/>
        <v>5.8283809544038258E-2</v>
      </c>
      <c r="F198" s="44">
        <f t="shared" si="12"/>
        <v>5.8283809544038258E-2</v>
      </c>
      <c r="H198" s="44">
        <f t="shared" si="9"/>
        <v>2.7832750248209126E-7</v>
      </c>
      <c r="J198" s="44">
        <f t="shared" si="10"/>
        <v>-15.094467350149241</v>
      </c>
    </row>
    <row r="199" spans="1:10">
      <c r="A199" s="44">
        <f t="shared" si="11"/>
        <v>18.599999999999994</v>
      </c>
      <c r="B199" s="44">
        <f t="shared" si="12"/>
        <v>1.1415345116240894E-2</v>
      </c>
      <c r="C199" s="44">
        <f t="shared" si="12"/>
        <v>1.1415345116240894E-2</v>
      </c>
      <c r="D199" s="44">
        <f t="shared" si="12"/>
        <v>2.9918581791020436E-2</v>
      </c>
      <c r="E199" s="44">
        <f t="shared" si="12"/>
        <v>5.6871607452864965E-2</v>
      </c>
      <c r="F199" s="44">
        <f t="shared" si="12"/>
        <v>5.6871607452864965E-2</v>
      </c>
      <c r="H199" s="44">
        <f t="shared" si="9"/>
        <v>2.3454330809081587E-7</v>
      </c>
      <c r="J199" s="44">
        <f t="shared" si="10"/>
        <v>-15.265625583421778</v>
      </c>
    </row>
    <row r="200" spans="1:10">
      <c r="A200" s="44">
        <f t="shared" si="11"/>
        <v>18.699999999999996</v>
      </c>
      <c r="B200" s="44">
        <f t="shared" si="12"/>
        <v>1.0897985378720384E-2</v>
      </c>
      <c r="C200" s="44">
        <f t="shared" si="12"/>
        <v>1.0897985378720384E-2</v>
      </c>
      <c r="D200" s="44">
        <f t="shared" si="12"/>
        <v>2.8870579599126735E-2</v>
      </c>
      <c r="E200" s="44">
        <f t="shared" si="12"/>
        <v>5.547117021988255E-2</v>
      </c>
      <c r="F200" s="44">
        <f t="shared" si="12"/>
        <v>5.547117021988255E-2</v>
      </c>
      <c r="H200" s="44">
        <f t="shared" si="9"/>
        <v>1.9729869232372119E-7</v>
      </c>
      <c r="J200" s="44">
        <f t="shared" si="10"/>
        <v>-15.438547051797276</v>
      </c>
    </row>
    <row r="201" spans="1:10">
      <c r="A201" s="44">
        <f t="shared" si="11"/>
        <v>18.799999999999997</v>
      </c>
      <c r="B201" s="44">
        <f t="shared" si="12"/>
        <v>1.0401098278417691E-2</v>
      </c>
      <c r="C201" s="44">
        <f t="shared" si="12"/>
        <v>1.0401098278417691E-2</v>
      </c>
      <c r="D201" s="44">
        <f t="shared" si="12"/>
        <v>2.7849728602454143E-2</v>
      </c>
      <c r="E201" s="44">
        <f t="shared" si="12"/>
        <v>5.4083560864018623E-2</v>
      </c>
      <c r="F201" s="44">
        <f t="shared" si="12"/>
        <v>5.4083560864018623E-2</v>
      </c>
      <c r="H201" s="44">
        <f t="shared" si="9"/>
        <v>1.6567911735191322E-7</v>
      </c>
      <c r="J201" s="44">
        <f t="shared" si="10"/>
        <v>-15.613212947300161</v>
      </c>
    </row>
    <row r="202" spans="1:10">
      <c r="A202" s="44">
        <f t="shared" si="11"/>
        <v>18.899999999999999</v>
      </c>
      <c r="B202" s="44">
        <f t="shared" si="12"/>
        <v>9.9240581620850688E-3</v>
      </c>
      <c r="C202" s="44">
        <f t="shared" si="12"/>
        <v>9.9240581620850688E-3</v>
      </c>
      <c r="D202" s="44">
        <f t="shared" si="12"/>
        <v>2.6855854667260658E-2</v>
      </c>
      <c r="E202" s="44">
        <f t="shared" si="12"/>
        <v>5.2709779371935037E-2</v>
      </c>
      <c r="F202" s="44">
        <f t="shared" si="12"/>
        <v>5.2709779371935037E-2</v>
      </c>
      <c r="H202" s="44">
        <f t="shared" si="9"/>
        <v>1.3888705872003091E-7</v>
      </c>
      <c r="J202" s="44">
        <f t="shared" si="10"/>
        <v>-15.789604761288881</v>
      </c>
    </row>
    <row r="203" spans="1:10">
      <c r="A203" s="44">
        <f t="shared" si="11"/>
        <v>19</v>
      </c>
      <c r="B203" s="44">
        <f t="shared" si="12"/>
        <v>9.4662467447950826E-3</v>
      </c>
      <c r="C203" s="44">
        <f t="shared" si="12"/>
        <v>9.4662467447950826E-3</v>
      </c>
      <c r="D203" s="44">
        <f t="shared" si="12"/>
        <v>2.588875056720473E-2</v>
      </c>
      <c r="E203" s="44">
        <f t="shared" si="12"/>
        <v>5.1350763487697293E-2</v>
      </c>
      <c r="F203" s="44">
        <f t="shared" si="12"/>
        <v>5.1350763487697293E-2</v>
      </c>
      <c r="H203" s="44">
        <f t="shared" si="9"/>
        <v>1.1622890420655323E-7</v>
      </c>
      <c r="J203" s="44">
        <f t="shared" si="10"/>
        <v>-15.967704278137411</v>
      </c>
    </row>
    <row r="204" spans="1:10">
      <c r="A204" s="44">
        <f t="shared" si="11"/>
        <v>19.100000000000001</v>
      </c>
      <c r="B204" s="44">
        <f t="shared" si="12"/>
        <v>9.0270538924020222E-3</v>
      </c>
      <c r="C204" s="44">
        <f t="shared" si="12"/>
        <v>9.0270538924020222E-3</v>
      </c>
      <c r="D204" s="44">
        <f t="shared" si="12"/>
        <v>2.4948178261266534E-2</v>
      </c>
      <c r="E204" s="44">
        <f t="shared" si="12"/>
        <v>5.0007389623585967E-2</v>
      </c>
      <c r="F204" s="44">
        <f t="shared" si="12"/>
        <v>5.0007389623585967E-2</v>
      </c>
      <c r="H204" s="44">
        <f t="shared" si="9"/>
        <v>9.7102999714539977E-8</v>
      </c>
      <c r="J204" s="44">
        <f t="shared" si="10"/>
        <v>-16.147493569082645</v>
      </c>
    </row>
    <row r="205" spans="1:10">
      <c r="A205" s="44">
        <f t="shared" si="11"/>
        <v>19.200000000000003</v>
      </c>
      <c r="B205" s="44">
        <f t="shared" si="12"/>
        <v>8.6058783277481905E-3</v>
      </c>
      <c r="C205" s="44">
        <f t="shared" si="12"/>
        <v>8.6058783277481905E-3</v>
      </c>
      <c r="D205" s="44">
        <f t="shared" si="12"/>
        <v>2.4033871111674952E-2</v>
      </c>
      <c r="E205" s="44">
        <f t="shared" si="12"/>
        <v>4.8680473882460752E-2</v>
      </c>
      <c r="F205" s="44">
        <f t="shared" si="12"/>
        <v>4.8680473882460752E-2</v>
      </c>
      <c r="H205" s="44">
        <f t="shared" si="9"/>
        <v>8.0988798154015226E-8</v>
      </c>
      <c r="J205" s="44">
        <f t="shared" si="10"/>
        <v>-16.328954986232397</v>
      </c>
    </row>
    <row r="206" spans="1:10">
      <c r="A206" s="44">
        <f t="shared" si="11"/>
        <v>19.300000000000004</v>
      </c>
      <c r="B206" s="44">
        <f t="shared" si="12"/>
        <v>8.2021282642492296E-3</v>
      </c>
      <c r="C206" s="44">
        <f t="shared" si="12"/>
        <v>8.2021282642492296E-3</v>
      </c>
      <c r="D206" s="44">
        <f t="shared" si="12"/>
        <v>2.3145536039016645E-2</v>
      </c>
      <c r="E206" s="44">
        <f t="shared" si="12"/>
        <v>4.7370773182270946E-2</v>
      </c>
      <c r="F206" s="44">
        <f t="shared" si="12"/>
        <v>4.7370773182270946E-2</v>
      </c>
      <c r="H206" s="44">
        <f t="shared" ref="H206:H269" si="13">PRODUCT(A206:F206)</f>
        <v>6.7437057422560126E-8</v>
      </c>
      <c r="J206" s="44">
        <f t="shared" ref="J206:J269" si="14">LN(H206)</f>
        <v>-16.512071156729053</v>
      </c>
    </row>
    <row r="207" spans="1:10">
      <c r="A207" s="44">
        <f t="shared" ref="A207:A270" si="15">A206+0.1</f>
        <v>19.400000000000006</v>
      </c>
      <c r="B207" s="44">
        <f t="shared" si="12"/>
        <v>7.8152219704559888E-3</v>
      </c>
      <c r="C207" s="44">
        <f t="shared" si="12"/>
        <v>7.8152219704559888E-3</v>
      </c>
      <c r="D207" s="44">
        <f t="shared" si="12"/>
        <v>2.2282855612127415E-2</v>
      </c>
      <c r="E207" s="44">
        <f t="shared" si="12"/>
        <v>4.6078986473518012E-2</v>
      </c>
      <c r="F207" s="44">
        <f t="shared" si="12"/>
        <v>4.6078986473518012E-2</v>
      </c>
      <c r="H207" s="44">
        <f t="shared" si="13"/>
        <v>5.6061026700410091E-8</v>
      </c>
      <c r="J207" s="44">
        <f t="shared" si="14"/>
        <v>-16.696824977064058</v>
      </c>
    </row>
    <row r="208" spans="1:10">
      <c r="A208" s="44">
        <f t="shared" si="15"/>
        <v>19.500000000000007</v>
      </c>
      <c r="B208" s="44">
        <f t="shared" si="12"/>
        <v>7.4445882691421029E-3</v>
      </c>
      <c r="C208" s="44">
        <f t="shared" si="12"/>
        <v>7.4445882691421029E-3</v>
      </c>
      <c r="D208" s="44">
        <f t="shared" si="12"/>
        <v>2.144549007076732E-2</v>
      </c>
      <c r="E208" s="44">
        <f t="shared" si="12"/>
        <v>4.4805756040710326E-2</v>
      </c>
      <c r="F208" s="44">
        <f t="shared" si="12"/>
        <v>4.4805756040710326E-2</v>
      </c>
      <c r="H208" s="44">
        <f t="shared" si="13"/>
        <v>4.6528555896453329E-8</v>
      </c>
      <c r="J208" s="44">
        <f t="shared" si="14"/>
        <v>-16.883199607538526</v>
      </c>
    </row>
    <row r="209" spans="1:10">
      <c r="A209" s="44">
        <f t="shared" si="15"/>
        <v>19.600000000000009</v>
      </c>
      <c r="B209" s="44">
        <f t="shared" si="12"/>
        <v>7.0896669744080782E-3</v>
      </c>
      <c r="C209" s="44">
        <f t="shared" si="12"/>
        <v>7.0896669744080782E-3</v>
      </c>
      <c r="D209" s="44">
        <f t="shared" si="12"/>
        <v>2.0633079279459159E-2</v>
      </c>
      <c r="E209" s="44">
        <f t="shared" si="12"/>
        <v>4.3551668879104603E-2</v>
      </c>
      <c r="F209" s="44">
        <f t="shared" si="12"/>
        <v>4.3551668879104603E-2</v>
      </c>
      <c r="H209" s="44">
        <f t="shared" si="13"/>
        <v>3.8555060793415897E-8</v>
      </c>
      <c r="J209" s="44">
        <f t="shared" si="14"/>
        <v>-17.071178466865533</v>
      </c>
    </row>
    <row r="210" spans="1:10">
      <c r="A210" s="44">
        <f t="shared" si="15"/>
        <v>19.70000000000001</v>
      </c>
      <c r="B210" s="44">
        <f t="shared" si="12"/>
        <v>6.7499092702256189E-3</v>
      </c>
      <c r="C210" s="44">
        <f t="shared" si="12"/>
        <v>6.7499092702256189E-3</v>
      </c>
      <c r="D210" s="44">
        <f t="shared" si="12"/>
        <v>1.9845244611226238E-2</v>
      </c>
      <c r="E210" s="44">
        <f t="shared" si="12"/>
        <v>4.2317258138301089E-2</v>
      </c>
      <c r="F210" s="44">
        <f t="shared" si="12"/>
        <v>4.2317258138301089E-2</v>
      </c>
      <c r="H210" s="44">
        <f t="shared" si="13"/>
        <v>3.1897275864163741E-8</v>
      </c>
      <c r="J210" s="44">
        <f t="shared" si="14"/>
        <v>-17.260745226909787</v>
      </c>
    </row>
    <row r="211" spans="1:10">
      <c r="A211" s="44">
        <f t="shared" si="15"/>
        <v>19.800000000000011</v>
      </c>
      <c r="B211" s="44">
        <f t="shared" si="12"/>
        <v>6.424778033770972E-3</v>
      </c>
      <c r="C211" s="44">
        <f t="shared" si="12"/>
        <v>6.424778033770972E-3</v>
      </c>
      <c r="D211" s="44">
        <f t="shared" si="12"/>
        <v>1.9081590760299812E-2</v>
      </c>
      <c r="E211" s="44">
        <f t="shared" si="12"/>
        <v>4.1103004624549154E-2</v>
      </c>
      <c r="F211" s="44">
        <f t="shared" si="12"/>
        <v>4.1103004624549154E-2</v>
      </c>
      <c r="H211" s="44">
        <f t="shared" si="13"/>
        <v>2.6347727526400054E-8</v>
      </c>
      <c r="J211" s="44">
        <f t="shared" si="14"/>
        <v>-17.451883807560435</v>
      </c>
    </row>
    <row r="212" spans="1:10">
      <c r="A212" s="44">
        <f t="shared" si="15"/>
        <v>19.900000000000013</v>
      </c>
      <c r="B212" s="44">
        <f t="shared" si="12"/>
        <v>6.1137481068143425E-3</v>
      </c>
      <c r="C212" s="44">
        <f t="shared" si="12"/>
        <v>6.1137481068143425E-3</v>
      </c>
      <c r="D212" s="44">
        <f t="shared" si="12"/>
        <v>1.834170748317842E-2</v>
      </c>
      <c r="E212" s="44">
        <f t="shared" si="12"/>
        <v>3.9909338353920298E-2</v>
      </c>
      <c r="F212" s="44">
        <f t="shared" si="12"/>
        <v>3.9909338353920298E-2</v>
      </c>
      <c r="H212" s="44">
        <f t="shared" si="13"/>
        <v>2.1729862470070429E-8</v>
      </c>
      <c r="J212" s="44">
        <f t="shared" si="14"/>
        <v>-17.644578371733058</v>
      </c>
    </row>
    <row r="213" spans="1:10">
      <c r="A213" s="44">
        <f t="shared" si="15"/>
        <v>20.000000000000014</v>
      </c>
      <c r="B213" s="44">
        <f t="shared" si="12"/>
        <v>5.8163065183450963E-3</v>
      </c>
      <c r="C213" s="44">
        <f t="shared" si="12"/>
        <v>5.8163065183450963E-3</v>
      </c>
      <c r="D213" s="44">
        <f t="shared" si="12"/>
        <v>1.7625171267712438E-2</v>
      </c>
      <c r="E213" s="44">
        <f t="shared" si="12"/>
        <v>3.8736640148818599E-2</v>
      </c>
      <c r="F213" s="44">
        <f t="shared" si="12"/>
        <v>3.8736640148818599E-2</v>
      </c>
      <c r="H213" s="44">
        <f t="shared" si="13"/>
        <v>1.7893768369469548E-8</v>
      </c>
      <c r="J213" s="44">
        <f t="shared" si="14"/>
        <v>-17.838813320496858</v>
      </c>
    </row>
    <row r="214" spans="1:10">
      <c r="A214" s="44">
        <f t="shared" si="15"/>
        <v>20.100000000000016</v>
      </c>
      <c r="B214" s="44">
        <f t="shared" si="12"/>
        <v>5.5319526615198985E-3</v>
      </c>
      <c r="C214" s="44">
        <f t="shared" si="12"/>
        <v>5.5319526615198985E-3</v>
      </c>
      <c r="D214" s="44">
        <f t="shared" si="12"/>
        <v>1.6931546930156496E-2</v>
      </c>
      <c r="E214" s="44">
        <f t="shared" si="12"/>
        <v>3.7585243270618331E-2</v>
      </c>
      <c r="F214" s="44">
        <f t="shared" si="12"/>
        <v>3.7585243270618331E-2</v>
      </c>
      <c r="H214" s="44">
        <f t="shared" si="13"/>
        <v>1.4712427556365919E-8</v>
      </c>
      <c r="J214" s="44">
        <f t="shared" si="14"/>
        <v>-18.034573288323479</v>
      </c>
    </row>
    <row r="215" spans="1:10">
      <c r="A215" s="44">
        <f t="shared" si="15"/>
        <v>20.200000000000017</v>
      </c>
      <c r="B215" s="44">
        <f t="shared" si="12"/>
        <v>5.2601984279250077E-3</v>
      </c>
      <c r="C215" s="44">
        <f t="shared" si="12"/>
        <v>5.2601984279250077E-3</v>
      </c>
      <c r="D215" s="44">
        <f t="shared" si="12"/>
        <v>1.6260389140382758E-2</v>
      </c>
      <c r="E215" s="44">
        <f t="shared" si="12"/>
        <v>3.6455435081548311E-2</v>
      </c>
      <c r="F215" s="44">
        <f t="shared" si="12"/>
        <v>3.6455435081548311E-2</v>
      </c>
      <c r="H215" s="44">
        <f t="shared" si="13"/>
        <v>1.2078447892032925E-8</v>
      </c>
      <c r="J215" s="44">
        <f t="shared" si="14"/>
        <v>-18.231843138453609</v>
      </c>
    </row>
    <row r="216" spans="1:10">
      <c r="A216" s="44">
        <f t="shared" si="15"/>
        <v>20.300000000000018</v>
      </c>
      <c r="B216" s="44">
        <f t="shared" si="12"/>
        <v>5.0005683020439172E-3</v>
      </c>
      <c r="C216" s="44">
        <f t="shared" si="12"/>
        <v>5.0005683020439172E-3</v>
      </c>
      <c r="D216" s="44">
        <f t="shared" si="12"/>
        <v>1.5611243875676374E-2</v>
      </c>
      <c r="E216" s="44">
        <f t="shared" si="12"/>
        <v>3.5347458729271912E-2</v>
      </c>
      <c r="F216" s="44">
        <f t="shared" si="12"/>
        <v>3.5347458729271912E-2</v>
      </c>
      <c r="H216" s="44">
        <f t="shared" si="13"/>
        <v>9.9012189771746946E-9</v>
      </c>
      <c r="J216" s="44">
        <f t="shared" si="14"/>
        <v>-18.430607958378076</v>
      </c>
    </row>
    <row r="217" spans="1:10">
      <c r="A217" s="44">
        <f t="shared" si="15"/>
        <v>20.40000000000002</v>
      </c>
      <c r="B217" s="44">
        <f t="shared" si="12"/>
        <v>4.7525994187198285E-3</v>
      </c>
      <c r="C217" s="44">
        <f t="shared" si="12"/>
        <v>4.7525994187198285E-3</v>
      </c>
      <c r="D217" s="44">
        <f t="shared" si="12"/>
        <v>1.4983649803745813E-2</v>
      </c>
      <c r="E217" s="44">
        <f t="shared" si="12"/>
        <v>3.4261514847949842E-2</v>
      </c>
      <c r="F217" s="44">
        <f t="shared" si="12"/>
        <v>3.4261514847949842E-2</v>
      </c>
      <c r="H217" s="44">
        <f t="shared" si="13"/>
        <v>8.1044458503403021E-9</v>
      </c>
      <c r="J217" s="44">
        <f t="shared" si="14"/>
        <v>-18.630853055429906</v>
      </c>
    </row>
    <row r="218" spans="1:10">
      <c r="A218" s="44">
        <f t="shared" si="15"/>
        <v>20.500000000000021</v>
      </c>
      <c r="B218" s="44">
        <f t="shared" si="12"/>
        <v>4.5158415862982032E-3</v>
      </c>
      <c r="C218" s="44">
        <f t="shared" si="12"/>
        <v>4.5158415862982032E-3</v>
      </c>
      <c r="D218" s="44">
        <f t="shared" si="12"/>
        <v>1.4377139595771393E-2</v>
      </c>
      <c r="E218" s="44">
        <f t="shared" si="12"/>
        <v>3.3197763269906269E-2</v>
      </c>
      <c r="F218" s="44">
        <f t="shared" ref="C218:F281" si="16">(($A218^F$12)*(EXP(-$A218)))/(FACT(F$12))</f>
        <v>3.3197763269906269E-2</v>
      </c>
      <c r="H218" s="44">
        <f t="shared" si="13"/>
        <v>6.624016343940254E-9</v>
      </c>
      <c r="J218" s="44">
        <f t="shared" si="14"/>
        <v>-18.832563952484211</v>
      </c>
    </row>
    <row r="219" spans="1:10">
      <c r="A219" s="44">
        <f t="shared" si="15"/>
        <v>20.600000000000023</v>
      </c>
      <c r="B219" s="44">
        <f t="shared" ref="B219:F282" si="17">(($A219^B$12)*(EXP(-$A219)))/(FACT(B$12))</f>
        <v>4.2898572780296716E-3</v>
      </c>
      <c r="C219" s="44">
        <f t="shared" si="16"/>
        <v>4.2898572780296716E-3</v>
      </c>
      <c r="D219" s="44">
        <f t="shared" si="16"/>
        <v>1.3791241170489962E-2</v>
      </c>
      <c r="E219" s="44">
        <f t="shared" si="16"/>
        <v>3.215632474235787E-2</v>
      </c>
      <c r="F219" s="44">
        <f t="shared" si="16"/>
        <v>3.215632474235787E-2</v>
      </c>
      <c r="H219" s="44">
        <f t="shared" si="13"/>
        <v>5.4061622112447935E-9</v>
      </c>
      <c r="J219" s="44">
        <f t="shared" si="14"/>
        <v>-19.035726383762668</v>
      </c>
    </row>
    <row r="220" spans="1:10">
      <c r="A220" s="44">
        <f t="shared" si="15"/>
        <v>20.700000000000024</v>
      </c>
      <c r="B220" s="44">
        <f t="shared" si="17"/>
        <v>4.0742215942075333E-3</v>
      </c>
      <c r="C220" s="44">
        <f t="shared" si="16"/>
        <v>4.0742215942075333E-3</v>
      </c>
      <c r="D220" s="44">
        <f t="shared" si="16"/>
        <v>1.3225478870469622E-2</v>
      </c>
      <c r="E220" s="44">
        <f t="shared" si="16"/>
        <v>3.1137282643997472E-2</v>
      </c>
      <c r="F220" s="44">
        <f t="shared" si="16"/>
        <v>3.1137282643997472E-2</v>
      </c>
      <c r="H220" s="44">
        <f t="shared" si="13"/>
        <v>4.4058779459148377E-9</v>
      </c>
      <c r="J220" s="44">
        <f t="shared" si="14"/>
        <v>-19.240326290739603</v>
      </c>
    </row>
    <row r="221" spans="1:10">
      <c r="A221" s="44">
        <f t="shared" si="15"/>
        <v>20.800000000000026</v>
      </c>
      <c r="B221" s="44">
        <f t="shared" si="17"/>
        <v>3.8685221974082097E-3</v>
      </c>
      <c r="C221" s="44">
        <f t="shared" si="16"/>
        <v>3.8685221974082097E-3</v>
      </c>
      <c r="D221" s="44">
        <f t="shared" si="16"/>
        <v>1.2679374571868879E-2</v>
      </c>
      <c r="E221" s="44">
        <f t="shared" si="16"/>
        <v>3.0140684696556952E-2</v>
      </c>
      <c r="F221" s="44">
        <f t="shared" si="16"/>
        <v>3.0140684696556952E-2</v>
      </c>
      <c r="H221" s="44">
        <f t="shared" si="13"/>
        <v>3.5855648424147712E-9</v>
      </c>
      <c r="J221" s="44">
        <f t="shared" si="14"/>
        <v>-19.446349818146722</v>
      </c>
    </row>
    <row r="222" spans="1:10">
      <c r="A222" s="44">
        <f t="shared" si="15"/>
        <v>20.900000000000027</v>
      </c>
      <c r="B222" s="44">
        <f t="shared" si="17"/>
        <v>3.6723592230971224E-3</v>
      </c>
      <c r="C222" s="44">
        <f t="shared" si="16"/>
        <v>3.6723592230971224E-3</v>
      </c>
      <c r="D222" s="44">
        <f t="shared" si="16"/>
        <v>1.2152448729098923E-2</v>
      </c>
      <c r="E222" s="44">
        <f t="shared" si="16"/>
        <v>2.9166544666800631E-2</v>
      </c>
      <c r="F222" s="44">
        <f t="shared" si="16"/>
        <v>2.9166544666800631E-2</v>
      </c>
      <c r="H222" s="44">
        <f t="shared" si="13"/>
        <v>2.9138712597006142E-9</v>
      </c>
      <c r="J222" s="44">
        <f t="shared" si="14"/>
        <v>-19.653783310073653</v>
      </c>
    </row>
    <row r="223" spans="1:10">
      <c r="A223" s="44">
        <f t="shared" si="15"/>
        <v>21.000000000000028</v>
      </c>
      <c r="B223" s="44">
        <f t="shared" si="17"/>
        <v>3.4853451677575383E-3</v>
      </c>
      <c r="C223" s="44">
        <f t="shared" si="16"/>
        <v>3.4853451677575383E-3</v>
      </c>
      <c r="D223" s="44">
        <f t="shared" si="16"/>
        <v>1.1644221355917262E-2</v>
      </c>
      <c r="E223" s="44">
        <f t="shared" si="16"/>
        <v>2.8214844054722677E-2</v>
      </c>
      <c r="F223" s="44">
        <f t="shared" si="16"/>
        <v>2.8214844054722677E-2</v>
      </c>
      <c r="H223" s="44">
        <f t="shared" si="13"/>
        <v>2.3647032320301813E-9</v>
      </c>
      <c r="J223" s="44">
        <f t="shared" si="14"/>
        <v>-19.862613306161535</v>
      </c>
    </row>
    <row r="224" spans="1:10">
      <c r="A224" s="44">
        <f t="shared" si="15"/>
        <v>21.10000000000003</v>
      </c>
      <c r="B224" s="44">
        <f t="shared" si="17"/>
        <v>3.3071047565958783E-3</v>
      </c>
      <c r="C224" s="44">
        <f t="shared" si="16"/>
        <v>3.3071047565958783E-3</v>
      </c>
      <c r="D224" s="44">
        <f t="shared" si="16"/>
        <v>1.1154212944576176E-2</v>
      </c>
      <c r="E224" s="44">
        <f t="shared" si="16"/>
        <v>2.7285533764037227E-2</v>
      </c>
      <c r="F224" s="44">
        <f t="shared" si="16"/>
        <v>2.7285533764037227E-2</v>
      </c>
      <c r="H224" s="44">
        <f t="shared" si="13"/>
        <v>1.9163825091593225E-9</v>
      </c>
      <c r="J224" s="44">
        <f t="shared" si="14"/>
        <v>-20.072826537887071</v>
      </c>
    </row>
    <row r="225" spans="1:10">
      <c r="A225" s="44">
        <f t="shared" si="15"/>
        <v>21.200000000000031</v>
      </c>
      <c r="B225" s="44">
        <f t="shared" si="17"/>
        <v>3.137274792774496E-3</v>
      </c>
      <c r="C225" s="44">
        <f t="shared" si="16"/>
        <v>3.137274792774496E-3</v>
      </c>
      <c r="D225" s="44">
        <f t="shared" si="16"/>
        <v>1.0681945324731622E-2</v>
      </c>
      <c r="E225" s="44">
        <f t="shared" si="16"/>
        <v>2.6378535751359303E-2</v>
      </c>
      <c r="F225" s="44">
        <f t="shared" si="16"/>
        <v>2.6378535751359303E-2</v>
      </c>
      <c r="H225" s="44">
        <f t="shared" si="13"/>
        <v>1.5509318006446019E-9</v>
      </c>
      <c r="J225" s="44">
        <f t="shared" si="14"/>
        <v>-20.284409924934373</v>
      </c>
    </row>
    <row r="226" spans="1:10">
      <c r="A226" s="44">
        <f t="shared" si="15"/>
        <v>21.300000000000033</v>
      </c>
      <c r="B226" s="44">
        <f t="shared" si="17"/>
        <v>2.9755039900221016E-3</v>
      </c>
      <c r="C226" s="44">
        <f t="shared" si="16"/>
        <v>2.9755039900221016E-3</v>
      </c>
      <c r="D226" s="44">
        <f t="shared" si="16"/>
        <v>1.022694246388736E-2</v>
      </c>
      <c r="E226" s="44">
        <f t="shared" si="16"/>
        <v>2.549374465077512E-2</v>
      </c>
      <c r="F226" s="44">
        <f t="shared" si="16"/>
        <v>2.549374465077512E-2</v>
      </c>
      <c r="H226" s="44">
        <f t="shared" si="13"/>
        <v>1.2534694484131947E-9</v>
      </c>
      <c r="J226" s="44">
        <f t="shared" si="14"/>
        <v>-20.497350571652202</v>
      </c>
    </row>
    <row r="227" spans="1:10">
      <c r="A227" s="44">
        <f t="shared" si="15"/>
        <v>21.400000000000034</v>
      </c>
      <c r="B227" s="44">
        <f t="shared" si="17"/>
        <v>2.8214527903730417E-3</v>
      </c>
      <c r="C227" s="44">
        <f t="shared" si="16"/>
        <v>2.8214527903730417E-3</v>
      </c>
      <c r="D227" s="44">
        <f t="shared" si="16"/>
        <v>9.7887312112063824E-3</v>
      </c>
      <c r="E227" s="44">
        <f t="shared" si="16"/>
        <v>2.4631029370791702E-2</v>
      </c>
      <c r="F227" s="44">
        <f t="shared" si="16"/>
        <v>2.4631029370791702E-2</v>
      </c>
      <c r="H227" s="44">
        <f t="shared" si="13"/>
        <v>1.0116979655972834E-9</v>
      </c>
      <c r="J227" s="44">
        <f t="shared" si="14"/>
        <v>-20.711635763594199</v>
      </c>
    </row>
    <row r="228" spans="1:10">
      <c r="A228" s="44">
        <f t="shared" si="15"/>
        <v>21.500000000000036</v>
      </c>
      <c r="B228" s="44">
        <f t="shared" si="17"/>
        <v>2.6747931686901239E-3</v>
      </c>
      <c r="C228" s="44">
        <f t="shared" si="16"/>
        <v>2.6747931686901239E-3</v>
      </c>
      <c r="D228" s="44">
        <f t="shared" si="16"/>
        <v>9.3668419865682879E-3</v>
      </c>
      <c r="E228" s="44">
        <f t="shared" si="16"/>
        <v>2.3790234660940685E-2</v>
      </c>
      <c r="F228" s="44">
        <f t="shared" si="16"/>
        <v>2.3790234660940685E-2</v>
      </c>
      <c r="H228" s="44">
        <f t="shared" si="13"/>
        <v>8.1547286854433277E-10</v>
      </c>
      <c r="J228" s="44">
        <f t="shared" si="14"/>
        <v>-20.927252964139711</v>
      </c>
    </row>
    <row r="229" spans="1:10">
      <c r="A229" s="44">
        <f t="shared" si="15"/>
        <v>21.600000000000037</v>
      </c>
      <c r="B229" s="44">
        <f t="shared" si="17"/>
        <v>2.535208425531199E-3</v>
      </c>
      <c r="C229" s="44">
        <f t="shared" si="16"/>
        <v>2.535208425531199E-3</v>
      </c>
      <c r="D229" s="44">
        <f t="shared" si="16"/>
        <v>8.9608094167866695E-3</v>
      </c>
      <c r="E229" s="44">
        <f t="shared" si="16"/>
        <v>2.2971182645582431E-2</v>
      </c>
      <c r="F229" s="44">
        <f t="shared" si="16"/>
        <v>2.2971182645582431E-2</v>
      </c>
      <c r="H229" s="44">
        <f t="shared" si="13"/>
        <v>6.5644000585809637E-10</v>
      </c>
      <c r="J229" s="44">
        <f t="shared" si="14"/>
        <v>-21.144189811193083</v>
      </c>
    </row>
    <row r="230" spans="1:10">
      <c r="A230" s="44">
        <f t="shared" si="15"/>
        <v>21.700000000000038</v>
      </c>
      <c r="B230" s="44">
        <f t="shared" si="17"/>
        <v>2.4023929698281429E-3</v>
      </c>
      <c r="C230" s="44">
        <f t="shared" si="16"/>
        <v>2.4023929698281429E-3</v>
      </c>
      <c r="D230" s="44">
        <f t="shared" si="16"/>
        <v>8.570172920927108E-3</v>
      </c>
      <c r="E230" s="44">
        <f t="shared" si="16"/>
        <v>2.2173674322721871E-2</v>
      </c>
      <c r="F230" s="44">
        <f t="shared" si="16"/>
        <v>2.2173674322721871E-2</v>
      </c>
      <c r="H230" s="44">
        <f t="shared" si="13"/>
        <v>5.2773116770445369E-10</v>
      </c>
      <c r="J230" s="44">
        <f t="shared" si="14"/>
        <v>-21.362434113959118</v>
      </c>
    </row>
    <row r="231" spans="1:10">
      <c r="A231" s="44">
        <f t="shared" si="15"/>
        <v>21.80000000000004</v>
      </c>
      <c r="B231" s="44">
        <f t="shared" si="17"/>
        <v>2.2760520927576884E-3</v>
      </c>
      <c r="C231" s="44">
        <f t="shared" si="16"/>
        <v>2.2760520927576884E-3</v>
      </c>
      <c r="D231" s="44">
        <f t="shared" si="16"/>
        <v>8.1944772466830875E-3</v>
      </c>
      <c r="E231" s="44">
        <f t="shared" si="16"/>
        <v>2.1397491025899367E-2</v>
      </c>
      <c r="F231" s="44">
        <f t="shared" si="16"/>
        <v>2.1397491025899367E-2</v>
      </c>
      <c r="H231" s="44">
        <f t="shared" si="13"/>
        <v>4.2370915562177149E-10</v>
      </c>
      <c r="J231" s="44">
        <f t="shared" si="14"/>
        <v>-21.581973849792725</v>
      </c>
    </row>
    <row r="232" spans="1:10">
      <c r="A232" s="44">
        <f t="shared" si="15"/>
        <v>21.900000000000041</v>
      </c>
      <c r="B232" s="44">
        <f t="shared" si="17"/>
        <v>2.1559017340974109E-3</v>
      </c>
      <c r="C232" s="44">
        <f t="shared" si="16"/>
        <v>2.1559017340974109E-3</v>
      </c>
      <c r="D232" s="44">
        <f t="shared" si="16"/>
        <v>7.8332729597762347E-3</v>
      </c>
      <c r="E232" s="44">
        <f t="shared" si="16"/>
        <v>2.0642395847463156E-2</v>
      </c>
      <c r="F232" s="44">
        <f t="shared" si="16"/>
        <v>2.0642395847463156E-2</v>
      </c>
      <c r="H232" s="44">
        <f t="shared" si="13"/>
        <v>3.3975472316146018E-10</v>
      </c>
      <c r="J232" s="44">
        <f t="shared" si="14"/>
        <v>-21.802797161120605</v>
      </c>
    </row>
    <row r="233" spans="1:10">
      <c r="A233" s="44">
        <f t="shared" si="15"/>
        <v>22.000000000000043</v>
      </c>
      <c r="B233" s="44">
        <f t="shared" si="17"/>
        <v>2.0416682422767212E-3</v>
      </c>
      <c r="C233" s="44">
        <f t="shared" si="16"/>
        <v>2.0416682422767212E-3</v>
      </c>
      <c r="D233" s="44">
        <f t="shared" si="16"/>
        <v>7.4861168883480064E-3</v>
      </c>
      <c r="E233" s="44">
        <f t="shared" si="16"/>
        <v>1.9908135021760708E-2</v>
      </c>
      <c r="F233" s="44">
        <f t="shared" si="16"/>
        <v>1.9908135021760708E-2</v>
      </c>
      <c r="H233" s="44">
        <f t="shared" si="13"/>
        <v>2.7208887615525326E-10</v>
      </c>
      <c r="J233" s="44">
        <f t="shared" si="14"/>
        <v>-22.02489235243311</v>
      </c>
    </row>
    <row r="234" spans="1:10">
      <c r="A234" s="44">
        <f t="shared" si="15"/>
        <v>22.100000000000044</v>
      </c>
      <c r="B234" s="44">
        <f t="shared" si="17"/>
        <v>1.9330881292524108E-3</v>
      </c>
      <c r="C234" s="44">
        <f t="shared" si="16"/>
        <v>1.9330881292524108E-3</v>
      </c>
      <c r="D234" s="44">
        <f t="shared" si="16"/>
        <v>7.1525725243043467E-3</v>
      </c>
      <c r="E234" s="44">
        <f t="shared" si="16"/>
        <v>1.9194439267008239E-2</v>
      </c>
      <c r="F234" s="44">
        <f t="shared" si="16"/>
        <v>1.9194439267008239E-2</v>
      </c>
      <c r="H234" s="44">
        <f t="shared" si="13"/>
        <v>2.1762496311168455E-10</v>
      </c>
      <c r="J234" s="44">
        <f t="shared" si="14"/>
        <v>-22.248247887344245</v>
      </c>
    </row>
    <row r="235" spans="1:10">
      <c r="A235" s="44">
        <f t="shared" si="15"/>
        <v>22.200000000000045</v>
      </c>
      <c r="B235" s="44">
        <f t="shared" si="17"/>
        <v>1.8299078212607976E-3</v>
      </c>
      <c r="C235" s="44">
        <f t="shared" si="16"/>
        <v>1.8299078212607976E-3</v>
      </c>
      <c r="D235" s="44">
        <f t="shared" si="16"/>
        <v>6.8322103835619331E-3</v>
      </c>
      <c r="E235" s="44">
        <f t="shared" si="16"/>
        <v>1.8501025084805917E-2</v>
      </c>
      <c r="F235" s="44">
        <f t="shared" si="16"/>
        <v>1.8501025084805917E-2</v>
      </c>
      <c r="H235" s="44">
        <f t="shared" si="13"/>
        <v>1.7384580535548196E-10</v>
      </c>
      <c r="J235" s="44">
        <f t="shared" si="14"/>
        <v>-22.472852385718124</v>
      </c>
    </row>
    <row r="236" spans="1:10">
      <c r="A236" s="44">
        <f t="shared" si="15"/>
        <v>22.300000000000047</v>
      </c>
      <c r="B236" s="44">
        <f t="shared" si="17"/>
        <v>1.7318834064242665E-3</v>
      </c>
      <c r="C236" s="44">
        <f t="shared" si="16"/>
        <v>1.7318834064242665E-3</v>
      </c>
      <c r="D236" s="44">
        <f t="shared" si="16"/>
        <v>6.5246083271267201E-3</v>
      </c>
      <c r="E236" s="44">
        <f t="shared" si="16"/>
        <v>1.7827596016466263E-2</v>
      </c>
      <c r="F236" s="44">
        <f t="shared" si="16"/>
        <v>1.7827596016466263E-2</v>
      </c>
      <c r="H236" s="44">
        <f t="shared" si="13"/>
        <v>1.3870182637864891E-10</v>
      </c>
      <c r="J236" s="44">
        <f t="shared" si="14"/>
        <v>-22.698694620859932</v>
      </c>
    </row>
    <row r="237" spans="1:10">
      <c r="A237" s="44">
        <f t="shared" si="15"/>
        <v>22.400000000000048</v>
      </c>
      <c r="B237" s="44">
        <f t="shared" si="17"/>
        <v>1.6387803801186263E-3</v>
      </c>
      <c r="C237" s="44">
        <f t="shared" si="16"/>
        <v>1.6387803801186263E-3</v>
      </c>
      <c r="D237" s="44">
        <f t="shared" si="16"/>
        <v>6.2293518449115558E-3</v>
      </c>
      <c r="E237" s="44">
        <f t="shared" si="16"/>
        <v>1.7173843855510084E-2</v>
      </c>
      <c r="F237" s="44">
        <f t="shared" si="16"/>
        <v>1.7173843855510084E-2</v>
      </c>
      <c r="H237" s="44">
        <f t="shared" si="13"/>
        <v>1.1052675287922374E-10</v>
      </c>
      <c r="J237" s="44">
        <f t="shared" si="14"/>
        <v>-22.925763516769745</v>
      </c>
    </row>
    <row r="238" spans="1:10">
      <c r="A238" s="44">
        <f t="shared" si="15"/>
        <v>22.50000000000005</v>
      </c>
      <c r="B238" s="44">
        <f t="shared" si="17"/>
        <v>1.5503733889394803E-3</v>
      </c>
      <c r="C238" s="44">
        <f t="shared" si="16"/>
        <v>1.5503733889394803E-3</v>
      </c>
      <c r="D238" s="44">
        <f t="shared" si="16"/>
        <v>5.9460343041713281E-3</v>
      </c>
      <c r="E238" s="44">
        <f t="shared" si="16"/>
        <v>1.6539449815861255E-2</v>
      </c>
      <c r="F238" s="44">
        <f t="shared" si="16"/>
        <v>1.6539449815861255E-2</v>
      </c>
      <c r="H238" s="44">
        <f t="shared" si="13"/>
        <v>8.7967987551487327E-11</v>
      </c>
      <c r="J238" s="44">
        <f t="shared" si="14"/>
        <v>-23.154048145457555</v>
      </c>
    </row>
    <row r="239" spans="1:10">
      <c r="A239" s="44">
        <f t="shared" si="15"/>
        <v>22.600000000000051</v>
      </c>
      <c r="B239" s="44">
        <f t="shared" si="17"/>
        <v>1.4664459740406277E-3</v>
      </c>
      <c r="C239" s="44">
        <f t="shared" si="16"/>
        <v>1.4664459740406277E-3</v>
      </c>
      <c r="D239" s="44">
        <f t="shared" si="16"/>
        <v>5.6742571644014727E-3</v>
      </c>
      <c r="E239" s="44">
        <f t="shared" si="16"/>
        <v>1.5924085655437965E-2</v>
      </c>
      <c r="F239" s="44">
        <f t="shared" si="16"/>
        <v>1.5924085655437965E-2</v>
      </c>
      <c r="H239" s="44">
        <f t="shared" si="13"/>
        <v>6.9929206291663604E-11</v>
      </c>
      <c r="J239" s="44">
        <f t="shared" si="14"/>
        <v>-23.383537724317744</v>
      </c>
    </row>
    <row r="240" spans="1:10">
      <c r="A240" s="44">
        <f t="shared" si="15"/>
        <v>22.700000000000053</v>
      </c>
      <c r="B240" s="44">
        <f t="shared" si="17"/>
        <v>1.3867903145552657E-3</v>
      </c>
      <c r="C240" s="44">
        <f t="shared" si="16"/>
        <v>1.3867903145552657E-3</v>
      </c>
      <c r="D240" s="44">
        <f t="shared" si="16"/>
        <v>5.4136301605089863E-3</v>
      </c>
      <c r="E240" s="44">
        <f t="shared" si="16"/>
        <v>1.5327414754992793E-2</v>
      </c>
      <c r="F240" s="44">
        <f t="shared" si="16"/>
        <v>1.5327414754992793E-2</v>
      </c>
      <c r="H240" s="44">
        <f t="shared" si="13"/>
        <v>5.5523119543704799E-11</v>
      </c>
      <c r="J240" s="44">
        <f t="shared" si="14"/>
        <v>-23.614221613561629</v>
      </c>
    </row>
    <row r="241" spans="1:10">
      <c r="A241" s="44">
        <f t="shared" si="15"/>
        <v>22.800000000000054</v>
      </c>
      <c r="B241" s="44">
        <f t="shared" si="17"/>
        <v>1.3112069717516178E-3</v>
      </c>
      <c r="C241" s="44">
        <f t="shared" si="16"/>
        <v>1.3112069717516178E-3</v>
      </c>
      <c r="D241" s="44">
        <f t="shared" si="16"/>
        <v>5.1637714560254875E-3</v>
      </c>
      <c r="E241" s="44">
        <f t="shared" si="16"/>
        <v>1.4749093152199457E-2</v>
      </c>
      <c r="F241" s="44">
        <f t="shared" si="16"/>
        <v>1.4749093152199457E-2</v>
      </c>
      <c r="H241" s="44">
        <f t="shared" si="13"/>
        <v>4.4032667526276963E-11</v>
      </c>
      <c r="J241" s="44">
        <f t="shared" si="14"/>
        <v>-23.846089313706305</v>
      </c>
    </row>
    <row r="242" spans="1:10">
      <c r="A242" s="44">
        <f t="shared" si="15"/>
        <v>22.900000000000055</v>
      </c>
      <c r="B242" s="44">
        <f t="shared" si="17"/>
        <v>1.2395046345182801E-3</v>
      </c>
      <c r="C242" s="44">
        <f t="shared" si="16"/>
        <v>1.2395046345182801E-3</v>
      </c>
      <c r="D242" s="44">
        <f t="shared" si="16"/>
        <v>4.9243077680888973E-3</v>
      </c>
      <c r="E242" s="44">
        <f t="shared" si="16"/>
        <v>1.4188770531118194E-2</v>
      </c>
      <c r="F242" s="44">
        <f t="shared" si="16"/>
        <v>1.4188770531118194E-2</v>
      </c>
      <c r="H242" s="44">
        <f t="shared" si="13"/>
        <v>3.4879199644652072E-11</v>
      </c>
      <c r="J242" s="44">
        <f t="shared" si="14"/>
        <v>-24.079130463118577</v>
      </c>
    </row>
    <row r="243" spans="1:10">
      <c r="A243" s="44">
        <f t="shared" si="15"/>
        <v>23.000000000000057</v>
      </c>
      <c r="B243" s="44">
        <f t="shared" si="17"/>
        <v>1.1714998667212331E-3</v>
      </c>
      <c r="C243" s="44">
        <f t="shared" si="16"/>
        <v>1.1714998667212331E-3</v>
      </c>
      <c r="D243" s="44">
        <f t="shared" si="16"/>
        <v>4.6948744658752688E-3</v>
      </c>
      <c r="E243" s="44">
        <f t="shared" si="16"/>
        <v>1.3646091167296861E-2</v>
      </c>
      <c r="F243" s="44">
        <f t="shared" si="16"/>
        <v>1.3646091167296861E-2</v>
      </c>
      <c r="H243" s="44">
        <f t="shared" si="13"/>
        <v>2.7596426240963621E-11</v>
      </c>
      <c r="J243" s="44">
        <f t="shared" si="14"/>
        <v>-24.313334835612281</v>
      </c>
    </row>
    <row r="244" spans="1:10">
      <c r="A244" s="44">
        <f t="shared" si="15"/>
        <v>23.100000000000058</v>
      </c>
      <c r="B244" s="44">
        <f t="shared" si="17"/>
        <v>1.1070168569238712E-3</v>
      </c>
      <c r="C244" s="44">
        <f t="shared" si="16"/>
        <v>1.1070168569238712E-3</v>
      </c>
      <c r="D244" s="44">
        <f t="shared" si="16"/>
        <v>4.4751156441147728E-3</v>
      </c>
      <c r="E244" s="44">
        <f t="shared" si="16"/>
        <v>1.3120694828879649E-2</v>
      </c>
      <c r="F244" s="44">
        <f t="shared" si="16"/>
        <v>1.3120694828879649E-2</v>
      </c>
      <c r="H244" s="44">
        <f t="shared" si="13"/>
        <v>2.1809131927307248E-11</v>
      </c>
      <c r="J244" s="44">
        <f t="shared" si="14"/>
        <v>-24.548692338097794</v>
      </c>
    </row>
    <row r="245" spans="1:10">
      <c r="A245" s="44">
        <f t="shared" si="15"/>
        <v>23.20000000000006</v>
      </c>
      <c r="B245" s="44">
        <f t="shared" si="17"/>
        <v>1.0458871709135944E-3</v>
      </c>
      <c r="C245" s="44">
        <f t="shared" si="16"/>
        <v>1.0458871709135944E-3</v>
      </c>
      <c r="D245" s="44">
        <f t="shared" si="16"/>
        <v>4.2646841732767874E-3</v>
      </c>
      <c r="E245" s="44">
        <f t="shared" si="16"/>
        <v>1.2612217634200602E-2</v>
      </c>
      <c r="F245" s="44">
        <f t="shared" si="16"/>
        <v>1.2612217634200602E-2</v>
      </c>
      <c r="H245" s="44">
        <f t="shared" si="13"/>
        <v>1.7215809310904949E-11</v>
      </c>
      <c r="J245" s="44">
        <f t="shared" si="14"/>
        <v>-24.785193008282302</v>
      </c>
    </row>
    <row r="246" spans="1:10">
      <c r="A246" s="44">
        <f t="shared" si="15"/>
        <v>23.300000000000061</v>
      </c>
      <c r="B246" s="44">
        <f t="shared" si="17"/>
        <v>9.8794950743339208E-4</v>
      </c>
      <c r="C246" s="44">
        <f t="shared" si="16"/>
        <v>9.8794950743339208E-4</v>
      </c>
      <c r="D246" s="44">
        <f t="shared" si="16"/>
        <v>4.063241727958463E-3</v>
      </c>
      <c r="E246" s="44">
        <f t="shared" si="16"/>
        <v>1.212029286643616E-2</v>
      </c>
      <c r="F246" s="44">
        <f t="shared" si="16"/>
        <v>1.212029286643616E-2</v>
      </c>
      <c r="H246" s="44">
        <f t="shared" si="13"/>
        <v>1.3574514535309841E-11</v>
      </c>
      <c r="J246" s="44">
        <f t="shared" si="14"/>
        <v>-25.02282701241948</v>
      </c>
    </row>
    <row r="247" spans="1:10">
      <c r="A247" s="44">
        <f t="shared" si="15"/>
        <v>23.400000000000063</v>
      </c>
      <c r="B247" s="44">
        <f t="shared" si="17"/>
        <v>9.3304945747431595E-4</v>
      </c>
      <c r="C247" s="44">
        <f t="shared" si="16"/>
        <v>9.3304945747431595E-4</v>
      </c>
      <c r="D247" s="44">
        <f t="shared" si="16"/>
        <v>3.8704587949593867E-3</v>
      </c>
      <c r="E247" s="44">
        <f t="shared" si="16"/>
        <v>1.1644551745977874E-2</v>
      </c>
      <c r="F247" s="44">
        <f t="shared" si="16"/>
        <v>1.1644551745977874E-2</v>
      </c>
      <c r="H247" s="44">
        <f t="shared" si="13"/>
        <v>1.0691365711044128E-11</v>
      </c>
      <c r="J247" s="44">
        <f t="shared" si="14"/>
        <v>-25.26158464310743</v>
      </c>
    </row>
    <row r="248" spans="1:10">
      <c r="A248" s="44">
        <f t="shared" si="15"/>
        <v>23.500000000000064</v>
      </c>
      <c r="B248" s="44">
        <f t="shared" si="17"/>
        <v>8.8103926744476514E-4</v>
      </c>
      <c r="C248" s="44">
        <f t="shared" si="16"/>
        <v>8.8103926744476514E-4</v>
      </c>
      <c r="D248" s="44">
        <f t="shared" si="16"/>
        <v>3.6860146624725309E-3</v>
      </c>
      <c r="E248" s="44">
        <f t="shared" si="16"/>
        <v>1.1184624161266296E-2</v>
      </c>
      <c r="F248" s="44">
        <f t="shared" si="16"/>
        <v>1.1184624161266296E-2</v>
      </c>
      <c r="H248" s="44">
        <f t="shared" si="13"/>
        <v>8.4112054480367331E-12</v>
      </c>
      <c r="J248" s="44">
        <f t="shared" si="14"/>
        <v>-25.501456317133528</v>
      </c>
    </row>
    <row r="249" spans="1:10">
      <c r="A249" s="44">
        <f t="shared" si="15"/>
        <v>23.600000000000065</v>
      </c>
      <c r="B249" s="44">
        <f t="shared" si="17"/>
        <v>8.3177760649496321E-4</v>
      </c>
      <c r="C249" s="44">
        <f t="shared" si="16"/>
        <v>8.3177760649496321E-4</v>
      </c>
      <c r="D249" s="44">
        <f t="shared" si="16"/>
        <v>3.5095973917684637E-3</v>
      </c>
      <c r="E249" s="44">
        <f t="shared" si="16"/>
        <v>1.0740139358897663E-2</v>
      </c>
      <c r="F249" s="44">
        <f t="shared" si="16"/>
        <v>1.0740139358897663E-2</v>
      </c>
      <c r="H249" s="44">
        <f t="shared" si="13"/>
        <v>6.6100323143856163E-12</v>
      </c>
      <c r="J249" s="44">
        <f t="shared" si="14"/>
        <v>-25.742432573365008</v>
      </c>
    </row>
    <row r="250" spans="1:10">
      <c r="A250" s="44">
        <f t="shared" si="15"/>
        <v>23.700000000000067</v>
      </c>
      <c r="B250" s="44">
        <f t="shared" si="17"/>
        <v>7.8512933823982468E-4</v>
      </c>
      <c r="C250" s="44">
        <f t="shared" si="16"/>
        <v>7.8512933823982468E-4</v>
      </c>
      <c r="D250" s="44">
        <f t="shared" si="16"/>
        <v>3.3409037726964365E-3</v>
      </c>
      <c r="E250" s="44">
        <f t="shared" si="16"/>
        <v>1.0310726593878416E-2</v>
      </c>
      <c r="F250" s="44">
        <f t="shared" si="16"/>
        <v>1.0310726593878416E-2</v>
      </c>
      <c r="H250" s="44">
        <f t="shared" si="13"/>
        <v>5.1888756982607226E-12</v>
      </c>
      <c r="J250" s="44">
        <f t="shared" si="14"/>
        <v>-25.984504070684228</v>
      </c>
    </row>
    <row r="251" spans="1:10">
      <c r="A251" s="44">
        <f t="shared" si="15"/>
        <v>23.800000000000068</v>
      </c>
      <c r="B251" s="44">
        <f t="shared" si="17"/>
        <v>7.4096529709052753E-4</v>
      </c>
      <c r="C251" s="44">
        <f t="shared" si="16"/>
        <v>7.4096529709052753E-4</v>
      </c>
      <c r="D251" s="44">
        <f t="shared" si="16"/>
        <v>3.1796392642724305E-3</v>
      </c>
      <c r="E251" s="44">
        <f t="shared" si="16"/>
        <v>9.8960157409587156E-3</v>
      </c>
      <c r="F251" s="44">
        <f t="shared" si="16"/>
        <v>9.8960157409587156E-3</v>
      </c>
      <c r="H251" s="44">
        <f t="shared" si="13"/>
        <v>4.0688464426694284E-12</v>
      </c>
      <c r="J251" s="44">
        <f t="shared" si="14"/>
        <v>-26.227661585967276</v>
      </c>
    </row>
    <row r="252" spans="1:10">
      <c r="A252" s="44">
        <f t="shared" si="15"/>
        <v>23.90000000000007</v>
      </c>
      <c r="B252" s="44">
        <f t="shared" si="17"/>
        <v>6.9916206937437097E-4</v>
      </c>
      <c r="C252" s="44">
        <f t="shared" si="16"/>
        <v>6.9916206937437097E-4</v>
      </c>
      <c r="D252" s="44">
        <f t="shared" si="16"/>
        <v>3.0255179215707331E-3</v>
      </c>
      <c r="E252" s="44">
        <f t="shared" si="16"/>
        <v>9.4956378680243324E-3</v>
      </c>
      <c r="F252" s="44">
        <f t="shared" si="16"/>
        <v>9.4956378680243324E-3</v>
      </c>
      <c r="H252" s="44">
        <f t="shared" si="13"/>
        <v>3.1871436361900918E-12</v>
      </c>
      <c r="J252" s="44">
        <f t="shared" si="14"/>
        <v>-26.471896012105088</v>
      </c>
    </row>
    <row r="253" spans="1:10">
      <c r="A253" s="44">
        <f t="shared" si="15"/>
        <v>24.000000000000071</v>
      </c>
      <c r="B253" s="44">
        <f t="shared" si="17"/>
        <v>6.5960177939392885E-4</v>
      </c>
      <c r="C253" s="44">
        <f t="shared" si="16"/>
        <v>6.5960177939392885E-4</v>
      </c>
      <c r="D253" s="44">
        <f t="shared" si="16"/>
        <v>2.8782623100826153E-3</v>
      </c>
      <c r="E253" s="44">
        <f t="shared" si="16"/>
        <v>9.1092257725692103E-3</v>
      </c>
      <c r="F253" s="44">
        <f t="shared" si="16"/>
        <v>9.1092257725692103E-3</v>
      </c>
      <c r="H253" s="44">
        <f t="shared" si="13"/>
        <v>2.493837677319341E-12</v>
      </c>
      <c r="J253" s="44">
        <f t="shared" si="14"/>
        <v>-26.717198356065769</v>
      </c>
    </row>
    <row r="254" spans="1:10">
      <c r="A254" s="44">
        <f t="shared" si="15"/>
        <v>24.100000000000072</v>
      </c>
      <c r="B254" s="44">
        <f t="shared" si="17"/>
        <v>6.2217188054987849E-4</v>
      </c>
      <c r="C254" s="44">
        <f t="shared" si="16"/>
        <v>6.2217188054987849E-4</v>
      </c>
      <c r="D254" s="44">
        <f t="shared" si="16"/>
        <v>2.7376034086528558E-3</v>
      </c>
      <c r="E254" s="44">
        <f t="shared" si="16"/>
        <v>8.7364144823059067E-3</v>
      </c>
      <c r="F254" s="44">
        <f t="shared" si="16"/>
        <v>8.7364144823059067E-3</v>
      </c>
      <c r="H254" s="44">
        <f t="shared" si="13"/>
        <v>1.9492825444110668E-12</v>
      </c>
      <c r="J254" s="44">
        <f t="shared" si="14"/>
        <v>-26.963559736997293</v>
      </c>
    </row>
    <row r="255" spans="1:10">
      <c r="A255" s="44">
        <f t="shared" si="15"/>
        <v>24.200000000000074</v>
      </c>
      <c r="B255" s="44">
        <f t="shared" si="17"/>
        <v>5.8676495162725251E-4</v>
      </c>
      <c r="C255" s="44">
        <f t="shared" si="16"/>
        <v>5.8676495162725251E-4</v>
      </c>
      <c r="D255" s="44">
        <f t="shared" si="16"/>
        <v>2.6032805020529256E-3</v>
      </c>
      <c r="E255" s="44">
        <f t="shared" si="16"/>
        <v>8.3768417210015669E-3</v>
      </c>
      <c r="F255" s="44">
        <f t="shared" si="16"/>
        <v>8.3768417210015669E-3</v>
      </c>
      <c r="H255" s="44">
        <f t="shared" si="13"/>
        <v>1.5220372470219037E-12</v>
      </c>
      <c r="J255" s="44">
        <f t="shared" si="14"/>
        <v>-27.210971384369376</v>
      </c>
    </row>
    <row r="256" spans="1:10">
      <c r="A256" s="44">
        <f t="shared" si="15"/>
        <v>24.300000000000075</v>
      </c>
      <c r="B256" s="44">
        <f t="shared" si="17"/>
        <v>5.5327849832200392E-4</v>
      </c>
      <c r="C256" s="44">
        <f t="shared" si="16"/>
        <v>5.5327849832200392E-4</v>
      </c>
      <c r="D256" s="44">
        <f t="shared" si="16"/>
        <v>2.4750410641981974E-3</v>
      </c>
      <c r="E256" s="44">
        <f t="shared" si="16"/>
        <v>8.0301483406505642E-3</v>
      </c>
      <c r="F256" s="44">
        <f t="shared" si="16"/>
        <v>8.0301483406505642E-3</v>
      </c>
      <c r="H256" s="44">
        <f t="shared" si="13"/>
        <v>1.187198677868061E-12</v>
      </c>
      <c r="J256" s="44">
        <f t="shared" si="14"/>
        <v>-27.459424636153798</v>
      </c>
    </row>
    <row r="257" spans="1:10">
      <c r="A257" s="44">
        <f t="shared" si="15"/>
        <v>24.400000000000077</v>
      </c>
      <c r="B257" s="44">
        <f t="shared" si="17"/>
        <v>5.2161476006373515E-4</v>
      </c>
      <c r="C257" s="44">
        <f t="shared" si="16"/>
        <v>5.2161476006373515E-4</v>
      </c>
      <c r="D257" s="44">
        <f t="shared" si="16"/>
        <v>2.3526406329662675E-3</v>
      </c>
      <c r="E257" s="44">
        <f t="shared" si="16"/>
        <v>7.6959787211143176E-3</v>
      </c>
      <c r="F257" s="44">
        <f t="shared" si="16"/>
        <v>7.6959787211143176E-3</v>
      </c>
      <c r="H257" s="44">
        <f t="shared" si="13"/>
        <v>9.250663437086621E-13</v>
      </c>
      <c r="J257" s="44">
        <f t="shared" si="14"/>
        <v>-27.708910937041942</v>
      </c>
    </row>
    <row r="258" spans="1:10">
      <c r="A258" s="44">
        <f t="shared" si="15"/>
        <v>24.500000000000078</v>
      </c>
      <c r="B258" s="44">
        <f t="shared" si="17"/>
        <v>4.9168052217100195E-4</v>
      </c>
      <c r="C258" s="44">
        <f t="shared" si="16"/>
        <v>4.9168052217100195E-4</v>
      </c>
      <c r="D258" s="44">
        <f t="shared" si="16"/>
        <v>2.2358426775238318E-3</v>
      </c>
      <c r="E258" s="44">
        <f t="shared" si="16"/>
        <v>7.3739811383719163E-3</v>
      </c>
      <c r="F258" s="44">
        <f t="shared" si="16"/>
        <v>7.3739811383719163E-3</v>
      </c>
      <c r="H258" s="44">
        <f t="shared" si="13"/>
        <v>7.2007441311029249E-13</v>
      </c>
      <c r="J258" s="44">
        <f t="shared" si="14"/>
        <v>-27.959421836698915</v>
      </c>
    </row>
    <row r="259" spans="1:10">
      <c r="A259" s="44">
        <f t="shared" si="15"/>
        <v>24.60000000000008</v>
      </c>
      <c r="B259" s="44">
        <f t="shared" si="17"/>
        <v>4.6338693335781539E-4</v>
      </c>
      <c r="C259" s="44">
        <f t="shared" si="16"/>
        <v>4.6338693335781539E-4</v>
      </c>
      <c r="D259" s="44">
        <f t="shared" si="16"/>
        <v>2.1244184590213434E-3</v>
      </c>
      <c r="E259" s="44">
        <f t="shared" si="16"/>
        <v>7.0638081025349705E-3</v>
      </c>
      <c r="F259" s="44">
        <f t="shared" si="16"/>
        <v>7.0638081025349705E-3</v>
      </c>
      <c r="H259" s="44">
        <f t="shared" si="13"/>
        <v>5.5993875230148184E-13</v>
      </c>
      <c r="J259" s="44">
        <f t="shared" si="14"/>
        <v>-28.210948988053133</v>
      </c>
    </row>
    <row r="260" spans="1:10">
      <c r="A260" s="44">
        <f t="shared" si="15"/>
        <v>24.700000000000081</v>
      </c>
      <c r="B260" s="44">
        <f t="shared" si="17"/>
        <v>4.3664932859362741E-4</v>
      </c>
      <c r="C260" s="44">
        <f t="shared" si="16"/>
        <v>4.3664932859362741E-4</v>
      </c>
      <c r="D260" s="44">
        <f t="shared" si="16"/>
        <v>2.0181468854673324E-3</v>
      </c>
      <c r="E260" s="44">
        <f t="shared" si="16"/>
        <v>6.765116666784466E-3</v>
      </c>
      <c r="F260" s="44">
        <f t="shared" si="16"/>
        <v>6.765116666784466E-3</v>
      </c>
      <c r="H260" s="44">
        <f t="shared" si="13"/>
        <v>4.3497660554668614E-13</v>
      </c>
      <c r="J260" s="44">
        <f t="shared" si="14"/>
        <v>-28.463484145620662</v>
      </c>
    </row>
    <row r="261" spans="1:10">
      <c r="A261" s="44">
        <f t="shared" si="15"/>
        <v>24.800000000000082</v>
      </c>
      <c r="B261" s="44">
        <f t="shared" si="17"/>
        <v>4.1138705730420379E-4</v>
      </c>
      <c r="C261" s="44">
        <f t="shared" si="16"/>
        <v>4.1138705730420379E-4</v>
      </c>
      <c r="D261" s="44">
        <f t="shared" si="16"/>
        <v>1.9168143615483271E-3</v>
      </c>
      <c r="E261" s="44">
        <f t="shared" si="16"/>
        <v>6.4775687083884108E-3</v>
      </c>
      <c r="F261" s="44">
        <f t="shared" si="16"/>
        <v>6.4775687083884108E-3</v>
      </c>
      <c r="H261" s="44">
        <f t="shared" si="13"/>
        <v>3.3756471195108672E-13</v>
      </c>
      <c r="J261" s="44">
        <f t="shared" si="14"/>
        <v>-28.717019163863366</v>
      </c>
    </row>
    <row r="262" spans="1:10">
      <c r="A262" s="44">
        <f t="shared" si="15"/>
        <v>24.900000000000084</v>
      </c>
      <c r="B262" s="44">
        <f t="shared" si="17"/>
        <v>3.8752331688723745E-4</v>
      </c>
      <c r="C262" s="44">
        <f t="shared" si="16"/>
        <v>3.8752331688723745E-4</v>
      </c>
      <c r="D262" s="44">
        <f t="shared" si="16"/>
        <v>1.8202146341155883E-3</v>
      </c>
      <c r="E262" s="44">
        <f t="shared" si="16"/>
        <v>6.2008311829561194E-3</v>
      </c>
      <c r="F262" s="44">
        <f t="shared" si="16"/>
        <v>6.2008311829561194E-3</v>
      </c>
      <c r="H262" s="44">
        <f t="shared" si="13"/>
        <v>2.6170826717979159E-13</v>
      </c>
      <c r="J262" s="44">
        <f t="shared" si="14"/>
        <v>-28.971545995580115</v>
      </c>
    </row>
    <row r="263" spans="1:10">
      <c r="A263" s="44">
        <f t="shared" si="15"/>
        <v>25.000000000000085</v>
      </c>
      <c r="B263" s="44">
        <f t="shared" si="17"/>
        <v>3.6498499150427875E-4</v>
      </c>
      <c r="C263" s="44">
        <f t="shared" si="16"/>
        <v>3.6498499150427875E-4</v>
      </c>
      <c r="D263" s="44">
        <f t="shared" si="16"/>
        <v>1.7281486340164833E-3</v>
      </c>
      <c r="E263" s="44">
        <f t="shared" si="16"/>
        <v>5.9345763530786232E-3</v>
      </c>
      <c r="F263" s="44">
        <f t="shared" si="16"/>
        <v>5.9345763530786232E-3</v>
      </c>
      <c r="H263" s="44">
        <f t="shared" si="13"/>
        <v>2.0269851038800066E-13</v>
      </c>
      <c r="J263" s="44">
        <f t="shared" si="14"/>
        <v>-29.227056690330247</v>
      </c>
    </row>
    <row r="264" spans="1:10">
      <c r="A264" s="44">
        <f t="shared" si="15"/>
        <v>25.100000000000087</v>
      </c>
      <c r="B264" s="44">
        <f t="shared" si="17"/>
        <v>3.4370249609948401E-4</v>
      </c>
      <c r="C264" s="44">
        <f t="shared" si="16"/>
        <v>3.4370249609948401E-4</v>
      </c>
      <c r="D264" s="44">
        <f t="shared" si="16"/>
        <v>1.640424314906344E-3</v>
      </c>
      <c r="E264" s="44">
        <f t="shared" si="16"/>
        <v>5.6784819924953454E-3</v>
      </c>
      <c r="F264" s="44">
        <f t="shared" si="16"/>
        <v>5.6784819924953454E-3</v>
      </c>
      <c r="H264" s="44">
        <f t="shared" si="13"/>
        <v>1.5684107037361537E-13</v>
      </c>
      <c r="J264" s="44">
        <f t="shared" si="14"/>
        <v>-29.483543392888475</v>
      </c>
    </row>
    <row r="265" spans="1:10">
      <c r="A265" s="44">
        <f t="shared" si="15"/>
        <v>25.200000000000088</v>
      </c>
      <c r="B265" s="44">
        <f t="shared" si="17"/>
        <v>3.2360962558572297E-4</v>
      </c>
      <c r="C265" s="44">
        <f t="shared" si="16"/>
        <v>3.2360962558572297E-4</v>
      </c>
      <c r="D265" s="44">
        <f t="shared" si="16"/>
        <v>1.5568564896360525E-3</v>
      </c>
      <c r="E265" s="44">
        <f t="shared" si="16"/>
        <v>5.4322315669147565E-3</v>
      </c>
      <c r="F265" s="44">
        <f t="shared" si="16"/>
        <v>5.4322315669147565E-3</v>
      </c>
      <c r="H265" s="44">
        <f t="shared" si="13"/>
        <v>1.2124072756228453E-13</v>
      </c>
      <c r="J265" s="44">
        <f t="shared" si="14"/>
        <v>-29.740998341730474</v>
      </c>
    </row>
    <row r="266" spans="1:10">
      <c r="A266" s="44">
        <f t="shared" si="15"/>
        <v>25.30000000000009</v>
      </c>
      <c r="B266" s="44">
        <f t="shared" si="17"/>
        <v>3.0464340912968906E-4</v>
      </c>
      <c r="C266" s="44">
        <f t="shared" si="16"/>
        <v>3.0464340912968906E-4</v>
      </c>
      <c r="D266" s="44">
        <f t="shared" si="16"/>
        <v>1.4772666647713943E-3</v>
      </c>
      <c r="E266" s="44">
        <f t="shared" si="16"/>
        <v>5.1955143926018061E-3</v>
      </c>
      <c r="F266" s="44">
        <f t="shared" si="16"/>
        <v>5.1955143926018061E-3</v>
      </c>
      <c r="H266" s="44">
        <f t="shared" si="13"/>
        <v>9.3631093830561809E-14</v>
      </c>
      <c r="J266" s="44">
        <f t="shared" si="14"/>
        <v>-29.999413867548562</v>
      </c>
    </row>
    <row r="267" spans="1:10">
      <c r="A267" s="44">
        <f t="shared" si="15"/>
        <v>25.400000000000091</v>
      </c>
      <c r="B267" s="44">
        <f t="shared" si="17"/>
        <v>2.86743969459759E-4</v>
      </c>
      <c r="C267" s="44">
        <f t="shared" si="16"/>
        <v>2.86743969459759E-4</v>
      </c>
      <c r="D267" s="44">
        <f t="shared" si="16"/>
        <v>1.4014828737625715E-3</v>
      </c>
      <c r="E267" s="44">
        <f t="shared" si="16"/>
        <v>4.9680257738278421E-3</v>
      </c>
      <c r="F267" s="44">
        <f t="shared" si="16"/>
        <v>4.9680257738278421E-3</v>
      </c>
      <c r="H267" s="44">
        <f t="shared" si="13"/>
        <v>7.2240006790949281E-14</v>
      </c>
      <c r="J267" s="44">
        <f t="shared" si="14"/>
        <v>-30.258782391796572</v>
      </c>
    </row>
    <row r="268" spans="1:10">
      <c r="A268" s="44">
        <f t="shared" si="15"/>
        <v>25.500000000000092</v>
      </c>
      <c r="B268" s="44">
        <f t="shared" si="17"/>
        <v>2.6985438711336223E-4</v>
      </c>
      <c r="C268" s="44">
        <f t="shared" si="16"/>
        <v>2.6985438711336223E-4</v>
      </c>
      <c r="D268" s="44">
        <f t="shared" si="16"/>
        <v>1.3293395092459474E-3</v>
      </c>
      <c r="E268" s="44">
        <f t="shared" si="16"/>
        <v>4.7494671202592507E-3</v>
      </c>
      <c r="F268" s="44">
        <f t="shared" si="16"/>
        <v>4.7494671202592507E-3</v>
      </c>
      <c r="H268" s="44">
        <f t="shared" si="13"/>
        <v>5.5683282634389392E-14</v>
      </c>
      <c r="J268" s="44">
        <f t="shared" si="14"/>
        <v>-30.519096425263314</v>
      </c>
    </row>
    <row r="269" spans="1:10">
      <c r="A269" s="44">
        <f t="shared" si="15"/>
        <v>25.600000000000094</v>
      </c>
      <c r="B269" s="44">
        <f t="shared" si="17"/>
        <v>2.5392056953450716E-4</v>
      </c>
      <c r="C269" s="44">
        <f t="shared" si="16"/>
        <v>2.5392056953450716E-4</v>
      </c>
      <c r="D269" s="44">
        <f t="shared" si="16"/>
        <v>1.2606771549252709E-3</v>
      </c>
      <c r="E269" s="44">
        <f t="shared" si="16"/>
        <v>4.5395460453397348E-3</v>
      </c>
      <c r="F269" s="44">
        <f t="shared" si="16"/>
        <v>4.5395460453397348E-3</v>
      </c>
      <c r="H269" s="44">
        <f t="shared" si="13"/>
        <v>4.2880956726683906E-14</v>
      </c>
      <c r="J269" s="44">
        <f t="shared" si="14"/>
        <v>-30.780348566674004</v>
      </c>
    </row>
    <row r="270" spans="1:10">
      <c r="A270" s="44">
        <f t="shared" si="15"/>
        <v>25.700000000000095</v>
      </c>
      <c r="B270" s="44">
        <f t="shared" si="17"/>
        <v>2.3889112492681455E-4</v>
      </c>
      <c r="C270" s="44">
        <f t="shared" si="16"/>
        <v>2.3889112492681455E-4</v>
      </c>
      <c r="D270" s="44">
        <f t="shared" si="16"/>
        <v>1.1953424174463098E-3</v>
      </c>
      <c r="E270" s="44">
        <f t="shared" si="16"/>
        <v>4.3379764466984572E-3</v>
      </c>
      <c r="F270" s="44">
        <f t="shared" si="16"/>
        <v>4.3379764466984572E-3</v>
      </c>
      <c r="H270" s="44">
        <f t="shared" ref="H270:H300" si="18">PRODUCT(A270:F270)</f>
        <v>3.2991333098442893E-14</v>
      </c>
      <c r="J270" s="44">
        <f t="shared" ref="J270:J300" si="19">LN(H270)</f>
        <v>-31.042531501318908</v>
      </c>
    </row>
    <row r="271" spans="1:10">
      <c r="A271" s="44">
        <f t="shared" ref="A271:A300" si="20">A270+0.1</f>
        <v>25.800000000000097</v>
      </c>
      <c r="B271" s="44">
        <f t="shared" si="17"/>
        <v>2.2471724076285321E-4</v>
      </c>
      <c r="C271" s="44">
        <f t="shared" si="16"/>
        <v>2.2471724076285321E-4</v>
      </c>
      <c r="D271" s="44">
        <f t="shared" si="16"/>
        <v>1.1331877586468694E-3</v>
      </c>
      <c r="E271" s="44">
        <f t="shared" si="16"/>
        <v>4.1444785695918E-3</v>
      </c>
      <c r="F271" s="44">
        <f t="shared" si="16"/>
        <v>4.1444785695918E-3</v>
      </c>
      <c r="H271" s="44">
        <f t="shared" si="18"/>
        <v>2.5359119151750887E-14</v>
      </c>
      <c r="J271" s="44">
        <f t="shared" si="19"/>
        <v>-31.305637999708658</v>
      </c>
    </row>
    <row r="272" spans="1:10">
      <c r="A272" s="44">
        <f t="shared" si="20"/>
        <v>25.900000000000098</v>
      </c>
      <c r="B272" s="44">
        <f t="shared" si="17"/>
        <v>2.1135256684671596E-4</v>
      </c>
      <c r="C272" s="44">
        <f t="shared" si="16"/>
        <v>2.1135256684671596E-4</v>
      </c>
      <c r="D272" s="44">
        <f t="shared" si="16"/>
        <v>1.0740713285336862E-3</v>
      </c>
      <c r="E272" s="44">
        <f t="shared" si="16"/>
        <v>3.9587790543609211E-3</v>
      </c>
      <c r="F272" s="44">
        <f t="shared" si="16"/>
        <v>3.9587790543609211E-3</v>
      </c>
      <c r="H272" s="44">
        <f t="shared" si="18"/>
        <v>1.9474686199873533E-14</v>
      </c>
      <c r="J272" s="44">
        <f t="shared" si="19"/>
        <v>-31.569660916255522</v>
      </c>
    </row>
    <row r="273" spans="1:10">
      <c r="A273" s="44">
        <f t="shared" si="20"/>
        <v>26.000000000000099</v>
      </c>
      <c r="B273" s="44">
        <f t="shared" si="17"/>
        <v>1.9875310282357395E-4</v>
      </c>
      <c r="C273" s="44">
        <f t="shared" si="16"/>
        <v>1.9875310282357395E-4</v>
      </c>
      <c r="D273" s="44">
        <f t="shared" si="16"/>
        <v>1.0178567993086138E-3</v>
      </c>
      <c r="E273" s="44">
        <f t="shared" si="16"/>
        <v>3.7806109688605948E-3</v>
      </c>
      <c r="F273" s="44">
        <f t="shared" si="16"/>
        <v>3.7806109688605948E-3</v>
      </c>
      <c r="H273" s="44">
        <f t="shared" si="18"/>
        <v>1.4942107095330003E-14</v>
      </c>
      <c r="J273" s="44">
        <f t="shared" si="19"/>
        <v>-31.834593187980136</v>
      </c>
    </row>
    <row r="274" spans="1:10">
      <c r="A274" s="44">
        <f t="shared" si="20"/>
        <v>26.100000000000101</v>
      </c>
      <c r="B274" s="44">
        <f t="shared" si="17"/>
        <v>1.8687709002733539E-4</v>
      </c>
      <c r="C274" s="44">
        <f t="shared" si="16"/>
        <v>1.8687709002733539E-4</v>
      </c>
      <c r="D274" s="44">
        <f t="shared" si="16"/>
        <v>9.6441320073880395E-4</v>
      </c>
      <c r="E274" s="44">
        <f t="shared" si="16"/>
        <v>3.6097138267872841E-3</v>
      </c>
      <c r="F274" s="44">
        <f t="shared" si="16"/>
        <v>3.6097138267872841E-3</v>
      </c>
      <c r="H274" s="44">
        <f t="shared" si="18"/>
        <v>1.145410935983186E-14</v>
      </c>
      <c r="J274" s="44">
        <f t="shared" si="19"/>
        <v>-32.100427833243039</v>
      </c>
    </row>
    <row r="275" spans="1:10">
      <c r="A275" s="44">
        <f t="shared" si="20"/>
        <v>26.200000000000102</v>
      </c>
      <c r="B275" s="44">
        <f t="shared" si="17"/>
        <v>1.7568490755548322E-4</v>
      </c>
      <c r="C275" s="44">
        <f t="shared" si="16"/>
        <v>1.7568490755548322E-4</v>
      </c>
      <c r="D275" s="44">
        <f t="shared" si="16"/>
        <v>9.1361475713929439E-4</v>
      </c>
      <c r="E275" s="44">
        <f t="shared" si="16"/>
        <v>3.4458335928060557E-3</v>
      </c>
      <c r="F275" s="44">
        <f t="shared" si="16"/>
        <v>3.4458335928060557E-3</v>
      </c>
      <c r="H275" s="44">
        <f t="shared" si="18"/>
        <v>8.772470313340203E-15</v>
      </c>
      <c r="J275" s="44">
        <f t="shared" si="19"/>
        <v>-32.367157950500435</v>
      </c>
    </row>
    <row r="276" spans="1:10">
      <c r="A276" s="44">
        <f t="shared" si="20"/>
        <v>26.300000000000104</v>
      </c>
      <c r="B276" s="44">
        <f t="shared" si="17"/>
        <v>1.6513897245861914E-4</v>
      </c>
      <c r="C276" s="44">
        <f t="shared" si="16"/>
        <v>1.6513897245861914E-4</v>
      </c>
      <c r="D276" s="44">
        <f t="shared" si="16"/>
        <v>8.6534072621138761E-4</v>
      </c>
      <c r="E276" s="44">
        <f t="shared" si="16"/>
        <v>3.2887226753470296E-3</v>
      </c>
      <c r="F276" s="44">
        <f t="shared" si="16"/>
        <v>3.2887226753470296E-3</v>
      </c>
      <c r="H276" s="44">
        <f t="shared" si="18"/>
        <v>6.7126894159437403E-15</v>
      </c>
      <c r="J276" s="44">
        <f t="shared" si="19"/>
        <v>-32.634776717083703</v>
      </c>
    </row>
    <row r="277" spans="1:10">
      <c r="A277" s="44">
        <f t="shared" si="20"/>
        <v>26.400000000000105</v>
      </c>
      <c r="B277" s="44">
        <f t="shared" si="17"/>
        <v>1.5520364393116305E-4</v>
      </c>
      <c r="C277" s="44">
        <f t="shared" si="16"/>
        <v>1.5520364393116305E-4</v>
      </c>
      <c r="D277" s="44">
        <f t="shared" si="16"/>
        <v>8.1947523995654754E-4</v>
      </c>
      <c r="E277" s="44">
        <f t="shared" si="16"/>
        <v>3.138139907912747E-3</v>
      </c>
      <c r="F277" s="44">
        <f t="shared" si="16"/>
        <v>3.138139907912747E-3</v>
      </c>
      <c r="H277" s="44">
        <f t="shared" si="18"/>
        <v>5.1320182707491872E-15</v>
      </c>
      <c r="J277" s="44">
        <f t="shared" si="19"/>
        <v>-32.90327738800206</v>
      </c>
    </row>
    <row r="278" spans="1:10">
      <c r="A278" s="44">
        <f t="shared" si="20"/>
        <v>26.500000000000107</v>
      </c>
      <c r="B278" s="44">
        <f t="shared" si="17"/>
        <v>1.4584513138900894E-4</v>
      </c>
      <c r="C278" s="44">
        <f t="shared" si="16"/>
        <v>1.4584513138900894E-4</v>
      </c>
      <c r="D278" s="44">
        <f t="shared" si="16"/>
        <v>7.7590714786312403E-4</v>
      </c>
      <c r="E278" s="44">
        <f t="shared" si="16"/>
        <v>2.9938505197081491E-3</v>
      </c>
      <c r="F278" s="44">
        <f t="shared" si="16"/>
        <v>2.9938505197081491E-3</v>
      </c>
      <c r="H278" s="44">
        <f t="shared" si="18"/>
        <v>3.9201232715930341E-15</v>
      </c>
      <c r="J278" s="44">
        <f t="shared" si="19"/>
        <v>-33.172653294767798</v>
      </c>
    </row>
    <row r="279" spans="1:10">
      <c r="A279" s="44">
        <f t="shared" si="20"/>
        <v>26.600000000000108</v>
      </c>
      <c r="B279" s="44">
        <f t="shared" si="17"/>
        <v>1.3703140631967544E-4</v>
      </c>
      <c r="C279" s="44">
        <f t="shared" si="16"/>
        <v>1.3703140631967544E-4</v>
      </c>
      <c r="D279" s="44">
        <f t="shared" si="16"/>
        <v>7.3452986254204792E-4</v>
      </c>
      <c r="E279" s="44">
        <f t="shared" si="16"/>
        <v>2.8556260963750312E-3</v>
      </c>
      <c r="F279" s="44">
        <f t="shared" si="16"/>
        <v>2.8556260963750312E-3</v>
      </c>
      <c r="H279" s="44">
        <f t="shared" si="18"/>
        <v>2.9918099857736903E-15</v>
      </c>
      <c r="J279" s="44">
        <f t="shared" si="19"/>
        <v>-33.442897844243717</v>
      </c>
    </row>
    <row r="280" spans="1:10">
      <c r="A280" s="44">
        <f t="shared" si="20"/>
        <v>26.700000000000109</v>
      </c>
      <c r="B280" s="44">
        <f t="shared" si="17"/>
        <v>1.2873211779058978E-4</v>
      </c>
      <c r="C280" s="44">
        <f t="shared" si="16"/>
        <v>1.2873211779058978E-4</v>
      </c>
      <c r="D280" s="44">
        <f t="shared" si="16"/>
        <v>6.9524120796768407E-4</v>
      </c>
      <c r="E280" s="44">
        <f t="shared" si="16"/>
        <v>2.7232445315828928E-3</v>
      </c>
      <c r="F280" s="44">
        <f t="shared" si="16"/>
        <v>2.7232445315828928E-3</v>
      </c>
      <c r="H280" s="44">
        <f t="shared" si="18"/>
        <v>2.281360276122841E-15</v>
      </c>
      <c r="J280" s="44">
        <f t="shared" si="19"/>
        <v>-33.714004517512137</v>
      </c>
    </row>
    <row r="281" spans="1:10">
      <c r="A281" s="44">
        <f t="shared" si="20"/>
        <v>26.800000000000111</v>
      </c>
      <c r="B281" s="44">
        <f t="shared" si="17"/>
        <v>1.2091851150156053E-4</v>
      </c>
      <c r="C281" s="44">
        <f t="shared" si="16"/>
        <v>1.2091851150156053E-4</v>
      </c>
      <c r="D281" s="44">
        <f t="shared" si="16"/>
        <v>6.5794327046122386E-4</v>
      </c>
      <c r="E281" s="44">
        <f t="shared" si="16"/>
        <v>2.5964899701982052E-3</v>
      </c>
      <c r="F281" s="44">
        <f t="shared" si="16"/>
        <v>2.5964899701982052E-3</v>
      </c>
      <c r="H281" s="44">
        <f t="shared" si="18"/>
        <v>1.7381294846107206E-15</v>
      </c>
      <c r="J281" s="44">
        <f t="shared" si="19"/>
        <v>-33.985966868765111</v>
      </c>
    </row>
    <row r="282" spans="1:10">
      <c r="A282" s="44">
        <f t="shared" si="20"/>
        <v>26.900000000000112</v>
      </c>
      <c r="B282" s="44">
        <f t="shared" si="17"/>
        <v>1.135633522682101E-4</v>
      </c>
      <c r="C282" s="44">
        <f t="shared" si="17"/>
        <v>1.135633522682101E-4</v>
      </c>
      <c r="D282" s="44">
        <f t="shared" si="17"/>
        <v>6.225422525363651E-4</v>
      </c>
      <c r="E282" s="44">
        <f t="shared" si="17"/>
        <v>2.4751527437244119E-3</v>
      </c>
      <c r="F282" s="44">
        <f t="shared" si="17"/>
        <v>2.4751527437244119E-3</v>
      </c>
      <c r="H282" s="44">
        <f t="shared" si="18"/>
        <v>1.3231269949941707E-15</v>
      </c>
      <c r="J282" s="44">
        <f t="shared" si="19"/>
        <v>-34.258778524215188</v>
      </c>
    </row>
    <row r="283" spans="1:10">
      <c r="A283" s="44">
        <f t="shared" si="20"/>
        <v>27.000000000000114</v>
      </c>
      <c r="B283" s="44">
        <f t="shared" ref="B283:F300" si="21">(($A283^B$12)*(EXP(-$A283)))/(FACT(B$12))</f>
        <v>1.0664084982410714E-4</v>
      </c>
      <c r="C283" s="44">
        <f t="shared" si="21"/>
        <v>1.0664084982410714E-4</v>
      </c>
      <c r="D283" s="44">
        <f t="shared" si="21"/>
        <v>5.8894832971041495E-4</v>
      </c>
      <c r="E283" s="44">
        <f t="shared" si="21"/>
        <v>2.3590292986752528E-3</v>
      </c>
      <c r="F283" s="44">
        <f t="shared" si="21"/>
        <v>2.3590292986752528E-3</v>
      </c>
      <c r="H283" s="44">
        <f t="shared" si="18"/>
        <v>1.0063633746708756E-15</v>
      </c>
      <c r="J283" s="44">
        <f t="shared" si="19"/>
        <v>-34.532433181026519</v>
      </c>
    </row>
    <row r="284" spans="1:10">
      <c r="A284" s="44">
        <f t="shared" si="20"/>
        <v>27.100000000000115</v>
      </c>
      <c r="B284" s="44">
        <f t="shared" si="21"/>
        <v>1.0012658783055621E-4</v>
      </c>
      <c r="C284" s="44">
        <f t="shared" si="21"/>
        <v>1.0012658783055621E-4</v>
      </c>
      <c r="D284" s="44">
        <f t="shared" si="21"/>
        <v>5.5707551036848031E-4</v>
      </c>
      <c r="E284" s="44">
        <f t="shared" si="21"/>
        <v>2.2479221185149403E-3</v>
      </c>
      <c r="F284" s="44">
        <f t="shared" si="21"/>
        <v>2.2479221185149403E-3</v>
      </c>
      <c r="H284" s="44">
        <f t="shared" si="18"/>
        <v>7.6479442148501768E-16</v>
      </c>
      <c r="J284" s="44">
        <f t="shared" si="19"/>
        <v>-34.806924606265632</v>
      </c>
    </row>
    <row r="285" spans="1:10">
      <c r="A285" s="44">
        <f t="shared" si="20"/>
        <v>27.200000000000117</v>
      </c>
      <c r="B285" s="44">
        <f t="shared" si="21"/>
        <v>9.3997455984416785E-5</v>
      </c>
      <c r="C285" s="44">
        <f t="shared" si="21"/>
        <v>9.3997455984416785E-5</v>
      </c>
      <c r="D285" s="44">
        <f t="shared" si="21"/>
        <v>5.2684149875387512E-4</v>
      </c>
      <c r="E285" s="44">
        <f t="shared" si="21"/>
        <v>2.1416396397696169E-3</v>
      </c>
      <c r="F285" s="44">
        <f t="shared" si="21"/>
        <v>2.1416396397696169E-3</v>
      </c>
      <c r="H285" s="44">
        <f t="shared" si="18"/>
        <v>5.8072948035733276E-16</v>
      </c>
      <c r="J285" s="44">
        <f t="shared" si="19"/>
        <v>-35.082246635871556</v>
      </c>
    </row>
    <row r="286" spans="1:10">
      <c r="A286" s="44">
        <f t="shared" si="20"/>
        <v>27.300000000000118</v>
      </c>
      <c r="B286" s="44">
        <f t="shared" si="21"/>
        <v>8.8231585115933762E-5</v>
      </c>
      <c r="C286" s="44">
        <f t="shared" si="21"/>
        <v>8.8231585115933762E-5</v>
      </c>
      <c r="D286" s="44">
        <f t="shared" si="21"/>
        <v>4.9816756114435493E-4</v>
      </c>
      <c r="E286" s="44">
        <f t="shared" si="21"/>
        <v>2.0399961628861508E-3</v>
      </c>
      <c r="F286" s="44">
        <f t="shared" si="21"/>
        <v>2.0399961628861508E-3</v>
      </c>
      <c r="H286" s="44">
        <f t="shared" si="18"/>
        <v>4.4060046962685944E-16</v>
      </c>
      <c r="J286" s="44">
        <f t="shared" si="19"/>
        <v>-35.358393173644849</v>
      </c>
    </row>
    <row r="287" spans="1:10">
      <c r="A287" s="44">
        <f t="shared" si="20"/>
        <v>27.400000000000119</v>
      </c>
      <c r="B287" s="44">
        <f t="shared" si="21"/>
        <v>8.2808285170332305E-5</v>
      </c>
      <c r="C287" s="44">
        <f t="shared" si="21"/>
        <v>8.2808285170332305E-5</v>
      </c>
      <c r="D287" s="44">
        <f t="shared" si="21"/>
        <v>4.7097839526120619E-4</v>
      </c>
      <c r="E287" s="44">
        <f t="shared" si="21"/>
        <v>1.942811758386298E-3</v>
      </c>
      <c r="F287" s="44">
        <f t="shared" si="21"/>
        <v>1.942811758386298E-3</v>
      </c>
      <c r="H287" s="44">
        <f t="shared" si="18"/>
        <v>3.3401085205707099E-16</v>
      </c>
      <c r="J287" s="44">
        <f t="shared" si="19"/>
        <v>-35.635358190255111</v>
      </c>
    </row>
    <row r="288" spans="1:10">
      <c r="A288" s="44">
        <f t="shared" si="20"/>
        <v>27.500000000000121</v>
      </c>
      <c r="B288" s="44">
        <f t="shared" si="21"/>
        <v>7.7707985968843035E-5</v>
      </c>
      <c r="C288" s="44">
        <f t="shared" si="21"/>
        <v>7.7707985968843035E-5</v>
      </c>
      <c r="D288" s="44">
        <f t="shared" si="21"/>
        <v>4.4520200294650048E-4</v>
      </c>
      <c r="E288" s="44">
        <f t="shared" si="21"/>
        <v>1.8499121688367796E-3</v>
      </c>
      <c r="F288" s="44">
        <f t="shared" si="21"/>
        <v>1.8499121688367796E-3</v>
      </c>
      <c r="H288" s="44">
        <f t="shared" si="18"/>
        <v>2.5300163511866704E-16</v>
      </c>
      <c r="J288" s="44">
        <f t="shared" si="19"/>
        <v>-35.913135722266553</v>
      </c>
    </row>
    <row r="289" spans="1:10">
      <c r="A289" s="44">
        <f t="shared" si="20"/>
        <v>27.600000000000122</v>
      </c>
      <c r="B289" s="44">
        <f t="shared" si="21"/>
        <v>7.2912180646863512E-5</v>
      </c>
      <c r="C289" s="44">
        <f t="shared" si="21"/>
        <v>7.2912180646863512E-5</v>
      </c>
      <c r="D289" s="44">
        <f t="shared" si="21"/>
        <v>4.2076956613299425E-4</v>
      </c>
      <c r="E289" s="44">
        <f t="shared" si="21"/>
        <v>1.7611287071289702E-3</v>
      </c>
      <c r="F289" s="44">
        <f t="shared" si="21"/>
        <v>1.7611287071289702E-3</v>
      </c>
      <c r="H289" s="44">
        <f t="shared" si="18"/>
        <v>1.9148544542152409E-16</v>
      </c>
      <c r="J289" s="44">
        <f t="shared" si="19"/>
        <v>-36.191719871181256</v>
      </c>
    </row>
    <row r="290" spans="1:10">
      <c r="A290" s="44">
        <f t="shared" si="20"/>
        <v>27.700000000000124</v>
      </c>
      <c r="B290" s="44">
        <f t="shared" si="21"/>
        <v>6.8403371669106071E-5</v>
      </c>
      <c r="C290" s="44">
        <f t="shared" si="21"/>
        <v>6.8403371669106071E-5</v>
      </c>
      <c r="D290" s="44">
        <f t="shared" si="21"/>
        <v>3.9761532612112786E-4</v>
      </c>
      <c r="E290" s="44">
        <f t="shared" si="21"/>
        <v>1.6762981515356201E-3</v>
      </c>
      <c r="F290" s="44">
        <f t="shared" si="21"/>
        <v>1.6762981515356201E-3</v>
      </c>
      <c r="H290" s="44">
        <f t="shared" si="18"/>
        <v>1.4481062747069894E-16</v>
      </c>
      <c r="J290" s="44">
        <f t="shared" si="19"/>
        <v>-36.47110480249976</v>
      </c>
    </row>
    <row r="291" spans="1:10">
      <c r="A291" s="44">
        <f t="shared" si="20"/>
        <v>27.800000000000125</v>
      </c>
      <c r="B291" s="44">
        <f t="shared" si="21"/>
        <v>6.4165019323816777E-5</v>
      </c>
      <c r="C291" s="44">
        <f t="shared" si="21"/>
        <v>6.4165019323816777E-5</v>
      </c>
      <c r="D291" s="44">
        <f t="shared" si="21"/>
        <v>3.7567646616832581E-4</v>
      </c>
      <c r="E291" s="44">
        <f t="shared" si="21"/>
        <v>1.5952626379864372E-3</v>
      </c>
      <c r="F291" s="44">
        <f t="shared" si="21"/>
        <v>1.5952626379864372E-3</v>
      </c>
      <c r="H291" s="44">
        <f t="shared" si="18"/>
        <v>1.0942582572605935E-16</v>
      </c>
      <c r="J291" s="44">
        <f t="shared" si="19"/>
        <v>-36.751284744798554</v>
      </c>
    </row>
    <row r="292" spans="1:10">
      <c r="A292" s="44">
        <f t="shared" si="20"/>
        <v>27.900000000000126</v>
      </c>
      <c r="B292" s="44">
        <f t="shared" si="21"/>
        <v>6.0181492600461085E-5</v>
      </c>
      <c r="C292" s="44">
        <f t="shared" si="21"/>
        <v>6.0181492600461085E-5</v>
      </c>
      <c r="D292" s="44">
        <f t="shared" si="21"/>
        <v>3.5489299738731308E-4</v>
      </c>
      <c r="E292" s="44">
        <f t="shared" si="21"/>
        <v>1.5178695499794555E-3</v>
      </c>
      <c r="F292" s="44">
        <f t="shared" si="21"/>
        <v>1.5178695499794555E-3</v>
      </c>
      <c r="H292" s="44">
        <f t="shared" si="18"/>
        <v>8.2622140141846863E-17</v>
      </c>
      <c r="J292" s="44">
        <f t="shared" si="19"/>
        <v>-37.032253988824124</v>
      </c>
    </row>
    <row r="293" spans="1:10">
      <c r="A293" s="44">
        <f t="shared" si="20"/>
        <v>28.000000000000128</v>
      </c>
      <c r="B293" s="44">
        <f t="shared" si="21"/>
        <v>5.6438022357639256E-5</v>
      </c>
      <c r="C293" s="44">
        <f t="shared" si="21"/>
        <v>5.6438022357639256E-5</v>
      </c>
      <c r="D293" s="44">
        <f t="shared" si="21"/>
        <v>3.352076479423453E-4</v>
      </c>
      <c r="E293" s="44">
        <f t="shared" si="21"/>
        <v>1.4439714065208852E-3</v>
      </c>
      <c r="F293" s="44">
        <f t="shared" si="21"/>
        <v>1.4439714065208852E-3</v>
      </c>
      <c r="H293" s="44">
        <f t="shared" si="18"/>
        <v>6.2335107309338678E-17</v>
      </c>
      <c r="J293" s="44">
        <f t="shared" si="19"/>
        <v>-37.314006886603202</v>
      </c>
    </row>
    <row r="294" spans="1:10">
      <c r="A294" s="44">
        <f t="shared" si="20"/>
        <v>28.100000000000129</v>
      </c>
      <c r="B294" s="44">
        <f t="shared" si="21"/>
        <v>5.2920656690414173E-5</v>
      </c>
      <c r="C294" s="44">
        <f t="shared" si="21"/>
        <v>5.2920656690414173E-5</v>
      </c>
      <c r="D294" s="44">
        <f t="shared" si="21"/>
        <v>3.1656575552513881E-4</v>
      </c>
      <c r="E294" s="44">
        <f t="shared" si="21"/>
        <v>1.3734257484626766E-3</v>
      </c>
      <c r="F294" s="44">
        <f t="shared" si="21"/>
        <v>1.3734257484626766E-3</v>
      </c>
      <c r="H294" s="44">
        <f t="shared" si="18"/>
        <v>4.6992772971544367E-17</v>
      </c>
      <c r="J294" s="44">
        <f t="shared" si="19"/>
        <v>-37.596537850568943</v>
      </c>
    </row>
    <row r="295" spans="1:10">
      <c r="A295" s="44">
        <f t="shared" si="20"/>
        <v>28.200000000000131</v>
      </c>
      <c r="B295" s="44">
        <f t="shared" si="21"/>
        <v>4.961621840868678E-5</v>
      </c>
      <c r="C295" s="44">
        <f t="shared" si="21"/>
        <v>4.961621840868678E-5</v>
      </c>
      <c r="D295" s="44">
        <f t="shared" si="21"/>
        <v>2.989151630857912E-4</v>
      </c>
      <c r="E295" s="44">
        <f t="shared" si="21"/>
        <v>1.306095023584323E-3</v>
      </c>
      <c r="F295" s="44">
        <f t="shared" si="21"/>
        <v>1.306095023584323E-3</v>
      </c>
      <c r="H295" s="44">
        <f t="shared" si="18"/>
        <v>3.5399238945371715E-17</v>
      </c>
      <c r="J295" s="44">
        <f t="shared" si="19"/>
        <v>-37.879841352702506</v>
      </c>
    </row>
    <row r="296" spans="1:10">
      <c r="A296" s="44">
        <f t="shared" si="20"/>
        <v>28.300000000000132</v>
      </c>
      <c r="B296" s="44">
        <f t="shared" si="21"/>
        <v>4.6512264540732444E-5</v>
      </c>
      <c r="C296" s="44">
        <f t="shared" si="21"/>
        <v>4.6512264540732444E-5</v>
      </c>
      <c r="D296" s="44">
        <f t="shared" si="21"/>
        <v>2.8220611778808746E-4</v>
      </c>
      <c r="E296" s="44">
        <f t="shared" si="21"/>
        <v>1.2418464707434258E-3</v>
      </c>
      <c r="F296" s="44">
        <f t="shared" si="21"/>
        <v>1.2418464707434258E-3</v>
      </c>
      <c r="H296" s="44">
        <f t="shared" si="18"/>
        <v>2.6645485861459961E-17</v>
      </c>
      <c r="J296" s="44">
        <f t="shared" si="19"/>
        <v>-38.163911923689945</v>
      </c>
    </row>
    <row r="297" spans="1:10">
      <c r="A297" s="44">
        <f t="shared" si="20"/>
        <v>28.400000000000134</v>
      </c>
      <c r="B297" s="44">
        <f t="shared" si="21"/>
        <v>4.35970477785047E-5</v>
      </c>
      <c r="C297" s="44">
        <f t="shared" si="21"/>
        <v>4.35970477785047E-5</v>
      </c>
      <c r="D297" s="44">
        <f t="shared" si="21"/>
        <v>2.6639117315326575E-4</v>
      </c>
      <c r="E297" s="44">
        <f t="shared" si="21"/>
        <v>1.180552003398352E-3</v>
      </c>
      <c r="F297" s="44">
        <f t="shared" si="21"/>
        <v>1.180552003398352E-3</v>
      </c>
      <c r="H297" s="44">
        <f t="shared" si="18"/>
        <v>2.0041147234305584E-17</v>
      </c>
      <c r="J297" s="44">
        <f t="shared" si="19"/>
        <v>-38.44874415209388</v>
      </c>
    </row>
    <row r="298" spans="1:10">
      <c r="A298" s="44">
        <f t="shared" si="20"/>
        <v>28.500000000000135</v>
      </c>
      <c r="B298" s="44">
        <f t="shared" si="21"/>
        <v>4.0859479783812299E-5</v>
      </c>
      <c r="C298" s="44">
        <f t="shared" si="21"/>
        <v>4.0859479783812299E-5</v>
      </c>
      <c r="D298" s="44">
        <f t="shared" si="21"/>
        <v>2.5142509435152925E-4</v>
      </c>
      <c r="E298" s="44">
        <f t="shared" si="21"/>
        <v>1.1220880927858877E-3</v>
      </c>
      <c r="F298" s="44">
        <f t="shared" si="21"/>
        <v>1.1220880927858877E-3</v>
      </c>
      <c r="H298" s="44">
        <f t="shared" si="18"/>
        <v>1.5062361110866924E-17</v>
      </c>
      <c r="J298" s="44">
        <f t="shared" si="19"/>
        <v>-38.734332683539769</v>
      </c>
    </row>
    <row r="299" spans="1:10">
      <c r="A299" s="44">
        <f t="shared" si="20"/>
        <v>28.600000000000136</v>
      </c>
      <c r="B299" s="44">
        <f t="shared" si="21"/>
        <v>3.8289096276972077E-5</v>
      </c>
      <c r="C299" s="44">
        <f t="shared" si="21"/>
        <v>3.8289096276972077E-5</v>
      </c>
      <c r="D299" s="44">
        <f t="shared" si="21"/>
        <v>2.3726476659630588E-4</v>
      </c>
      <c r="E299" s="44">
        <f t="shared" si="21"/>
        <v>1.066335651017122E-3</v>
      </c>
      <c r="F299" s="44">
        <f t="shared" si="21"/>
        <v>1.066335651017122E-3</v>
      </c>
      <c r="H299" s="44">
        <f t="shared" si="18"/>
        <v>1.1311947340750778E-17</v>
      </c>
      <c r="J299" s="44">
        <f t="shared" si="19"/>
        <v>-39.020672219916449</v>
      </c>
    </row>
    <row r="300" spans="1:10">
      <c r="A300" s="44">
        <f t="shared" si="20"/>
        <v>28.700000000000138</v>
      </c>
      <c r="B300" s="44">
        <f t="shared" si="21"/>
        <v>3.5876023832028114E-5</v>
      </c>
      <c r="C300" s="44">
        <f t="shared" si="21"/>
        <v>3.5876023832028114E-5</v>
      </c>
      <c r="D300" s="44">
        <f t="shared" si="21"/>
        <v>2.2386910659245092E-4</v>
      </c>
      <c r="E300" s="44">
        <f t="shared" si="21"/>
        <v>1.0131799143359211E-3</v>
      </c>
      <c r="F300" s="44">
        <f t="shared" si="21"/>
        <v>1.0131799143359211E-3</v>
      </c>
      <c r="H300" s="44">
        <f t="shared" si="18"/>
        <v>8.4890250217584002E-18</v>
      </c>
      <c r="J300" s="44">
        <f t="shared" si="19"/>
        <v>-39.307757518590577</v>
      </c>
    </row>
  </sheetData>
  <pageMargins left="0.75" right="0.75" top="1" bottom="1" header="0.5" footer="0.5"/>
  <pageSetup orientation="portrait" horizontalDpi="0" verticalDpi="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W57"/>
  <sheetViews>
    <sheetView topLeftCell="H605" workbookViewId="0">
      <selection activeCell="M16" sqref="M16:N16"/>
    </sheetView>
  </sheetViews>
  <sheetFormatPr defaultRowHeight="11.4"/>
  <cols>
    <col min="8" max="8" width="9.125" style="46"/>
    <col min="9" max="9" width="16" style="48" customWidth="1"/>
    <col min="10" max="10" width="13.25" style="48" customWidth="1"/>
    <col min="11" max="11" width="13.75" style="49" customWidth="1"/>
    <col min="12" max="12" width="9.125" style="49"/>
    <col min="13" max="13" width="10.125" style="49" bestFit="1" customWidth="1"/>
    <col min="14" max="14" width="11.375" style="49" bestFit="1" customWidth="1"/>
    <col min="15" max="15" width="12" style="49" customWidth="1"/>
    <col min="16" max="18" width="16.25" style="49" customWidth="1"/>
    <col min="20" max="20" width="9.125" style="47"/>
    <col min="21" max="21" width="11.125" customWidth="1"/>
  </cols>
  <sheetData>
    <row r="1" spans="2:23" s="46" customFormat="1">
      <c r="I1" s="48"/>
      <c r="J1" s="48"/>
      <c r="K1" s="49"/>
      <c r="L1" s="49"/>
      <c r="M1" s="49"/>
      <c r="N1" s="49"/>
      <c r="O1" s="49"/>
      <c r="P1" s="49"/>
      <c r="Q1" s="49"/>
      <c r="R1" s="49"/>
      <c r="T1" s="47"/>
    </row>
    <row r="2" spans="2:23" s="46" customFormat="1">
      <c r="I2" s="48"/>
      <c r="J2" s="48"/>
      <c r="K2" s="49"/>
      <c r="L2" s="49"/>
      <c r="M2" s="49"/>
      <c r="N2" s="49"/>
      <c r="O2" s="49"/>
      <c r="P2" s="49"/>
      <c r="Q2" s="49"/>
      <c r="R2" s="49"/>
      <c r="T2" s="47"/>
    </row>
    <row r="3" spans="2:23" s="46" customFormat="1">
      <c r="I3" s="48"/>
      <c r="J3" s="48"/>
      <c r="K3" s="49"/>
      <c r="L3" s="49"/>
      <c r="M3" s="49"/>
      <c r="N3" s="49"/>
      <c r="O3" s="49"/>
      <c r="P3" s="49"/>
      <c r="Q3" s="49"/>
      <c r="R3" s="49"/>
      <c r="T3" s="47"/>
    </row>
    <row r="4" spans="2:23" s="46" customFormat="1">
      <c r="I4" s="48"/>
      <c r="J4" s="48"/>
      <c r="K4" s="49"/>
      <c r="L4" s="49"/>
      <c r="M4" s="49"/>
      <c r="N4" s="49"/>
      <c r="O4" s="49"/>
      <c r="P4" s="49"/>
      <c r="Q4" s="49"/>
      <c r="R4" s="49"/>
      <c r="T4" s="47"/>
    </row>
    <row r="6" spans="2:23" ht="45.6">
      <c r="B6" t="s">
        <v>289</v>
      </c>
      <c r="I6" s="48" t="s">
        <v>291</v>
      </c>
      <c r="J6" s="48" t="s">
        <v>305</v>
      </c>
      <c r="K6" s="49" t="s">
        <v>293</v>
      </c>
      <c r="L6" s="49" t="s">
        <v>46</v>
      </c>
      <c r="M6" s="49" t="s">
        <v>294</v>
      </c>
      <c r="N6" s="49" t="s">
        <v>295</v>
      </c>
      <c r="O6" s="49" t="s">
        <v>229</v>
      </c>
      <c r="P6" s="49" t="s">
        <v>298</v>
      </c>
      <c r="S6" s="48"/>
      <c r="T6" s="48"/>
      <c r="U6" s="49"/>
      <c r="V6" s="49"/>
      <c r="W6" s="49"/>
    </row>
    <row r="7" spans="2:23">
      <c r="B7" t="s">
        <v>288</v>
      </c>
      <c r="C7" t="s">
        <v>290</v>
      </c>
      <c r="D7" t="s">
        <v>27</v>
      </c>
      <c r="F7" t="s">
        <v>61</v>
      </c>
      <c r="G7">
        <v>4501</v>
      </c>
      <c r="I7" s="48" t="s">
        <v>292</v>
      </c>
      <c r="J7" s="48">
        <v>-635.35</v>
      </c>
      <c r="K7" s="49">
        <f>1075.7</f>
        <v>1075.7</v>
      </c>
      <c r="L7" s="49">
        <v>25</v>
      </c>
      <c r="M7" s="49">
        <f t="shared" ref="M7:M17" si="0">_xlfn.CHISQ.DIST.RT(K7,L7)</f>
        <v>4.902992615572791E-211</v>
      </c>
      <c r="N7" s="50">
        <f t="shared" ref="N7:N17" si="1">K7-L7*$G$8</f>
        <v>865.39862816767675</v>
      </c>
      <c r="O7" s="49">
        <v>19.559999999999999</v>
      </c>
      <c r="Q7" s="48"/>
      <c r="R7" s="48"/>
      <c r="V7" s="49"/>
      <c r="W7" s="50"/>
    </row>
    <row r="8" spans="2:23">
      <c r="B8">
        <v>1</v>
      </c>
      <c r="C8">
        <v>1</v>
      </c>
      <c r="D8">
        <v>57</v>
      </c>
      <c r="F8" t="s">
        <v>296</v>
      </c>
      <c r="G8">
        <f>LN(G7)</f>
        <v>8.4120548732929326</v>
      </c>
      <c r="I8" s="48" t="s">
        <v>297</v>
      </c>
      <c r="K8" s="49">
        <v>60.44</v>
      </c>
      <c r="L8" s="49">
        <v>20</v>
      </c>
      <c r="M8" s="49">
        <f t="shared" si="0"/>
        <v>6.0869153833647829E-6</v>
      </c>
      <c r="N8" s="50">
        <f t="shared" si="1"/>
        <v>-107.80109746585865</v>
      </c>
      <c r="O8" s="49">
        <v>2.85</v>
      </c>
      <c r="Q8" s="48"/>
      <c r="R8" s="48"/>
    </row>
    <row r="9" spans="2:23" ht="22.8">
      <c r="B9">
        <v>2</v>
      </c>
      <c r="C9" s="46">
        <v>1</v>
      </c>
      <c r="D9">
        <v>36</v>
      </c>
      <c r="I9" s="48" t="s">
        <v>299</v>
      </c>
      <c r="K9" s="49">
        <v>632.03</v>
      </c>
      <c r="L9" s="49">
        <v>24</v>
      </c>
      <c r="M9" s="49">
        <f t="shared" si="0"/>
        <v>4.6493661905366822E-118</v>
      </c>
      <c r="N9" s="50">
        <f t="shared" si="1"/>
        <v>430.14068304096958</v>
      </c>
      <c r="O9" s="49">
        <v>13.82</v>
      </c>
      <c r="Q9" s="48"/>
      <c r="R9" s="48"/>
    </row>
    <row r="10" spans="2:23" ht="22.8">
      <c r="B10">
        <v>3</v>
      </c>
      <c r="C10" s="46">
        <v>1</v>
      </c>
      <c r="D10">
        <v>14</v>
      </c>
      <c r="I10" s="48" t="s">
        <v>300</v>
      </c>
      <c r="K10" s="49">
        <v>179.7</v>
      </c>
      <c r="L10" s="49">
        <v>24</v>
      </c>
      <c r="M10" s="49">
        <f t="shared" si="0"/>
        <v>8.3589910198872072E-26</v>
      </c>
      <c r="N10" s="50">
        <f t="shared" si="1"/>
        <v>-22.189316959030407</v>
      </c>
      <c r="O10" s="49">
        <v>5.89</v>
      </c>
      <c r="P10" s="49" t="s">
        <v>301</v>
      </c>
      <c r="Q10" s="48"/>
      <c r="R10" s="48"/>
    </row>
    <row r="11" spans="2:23" ht="45.6">
      <c r="B11">
        <v>4</v>
      </c>
      <c r="C11" s="46">
        <v>1</v>
      </c>
      <c r="D11">
        <v>9</v>
      </c>
      <c r="I11" s="48" t="s">
        <v>302</v>
      </c>
      <c r="K11" s="49">
        <v>54.39</v>
      </c>
      <c r="L11" s="49">
        <v>19</v>
      </c>
      <c r="M11" s="49">
        <f t="shared" si="0"/>
        <v>2.8807859362075028E-5</v>
      </c>
      <c r="N11" s="50">
        <f t="shared" si="1"/>
        <v>-105.43904259256571</v>
      </c>
      <c r="O11" s="49">
        <v>2.17</v>
      </c>
      <c r="Q11" s="48"/>
      <c r="R11" s="48"/>
    </row>
    <row r="12" spans="2:23" ht="57">
      <c r="B12">
        <v>5</v>
      </c>
      <c r="C12" s="46">
        <v>1</v>
      </c>
      <c r="D12">
        <v>10</v>
      </c>
      <c r="I12" s="48" t="s">
        <v>303</v>
      </c>
      <c r="K12" s="49">
        <v>22.4</v>
      </c>
      <c r="L12" s="49">
        <v>10</v>
      </c>
      <c r="M12" s="49">
        <f t="shared" si="0"/>
        <v>1.3191602691678662E-2</v>
      </c>
      <c r="N12" s="50">
        <f t="shared" si="1"/>
        <v>-61.720548732929323</v>
      </c>
      <c r="O12" s="49">
        <v>1.25</v>
      </c>
      <c r="Q12" s="48"/>
      <c r="R12" s="48"/>
    </row>
    <row r="13" spans="2:23">
      <c r="B13">
        <v>6</v>
      </c>
      <c r="C13" s="46">
        <v>1</v>
      </c>
      <c r="D13">
        <v>46</v>
      </c>
      <c r="H13" s="56"/>
      <c r="N13" s="50"/>
    </row>
    <row r="14" spans="2:23">
      <c r="B14">
        <v>7</v>
      </c>
      <c r="C14" s="46">
        <v>1</v>
      </c>
      <c r="D14">
        <v>131</v>
      </c>
      <c r="H14" s="56"/>
      <c r="N14" s="50"/>
    </row>
    <row r="15" spans="2:23">
      <c r="B15" s="46">
        <v>1</v>
      </c>
      <c r="C15">
        <v>2</v>
      </c>
      <c r="D15">
        <v>11</v>
      </c>
      <c r="H15" s="56"/>
      <c r="N15" s="50"/>
    </row>
    <row r="16" spans="2:23">
      <c r="B16" s="46">
        <v>2</v>
      </c>
      <c r="C16" s="46">
        <v>2</v>
      </c>
      <c r="D16">
        <v>13</v>
      </c>
      <c r="H16" s="56"/>
      <c r="I16" s="48" t="s">
        <v>321</v>
      </c>
      <c r="K16" s="49">
        <v>20262</v>
      </c>
      <c r="L16" s="49">
        <v>12</v>
      </c>
      <c r="M16" s="49">
        <f t="shared" ref="M16" si="2">_xlfn.CHISQ.DIST.RT(K16,L16)</f>
        <v>0</v>
      </c>
      <c r="N16" s="50">
        <f t="shared" ref="N16" si="3">K16-L16*$G$8</f>
        <v>20161.055341520485</v>
      </c>
    </row>
    <row r="17" spans="2:16" ht="34.200000000000003">
      <c r="B17" s="46">
        <v>3</v>
      </c>
      <c r="C17" s="46">
        <v>2</v>
      </c>
      <c r="D17">
        <v>4</v>
      </c>
      <c r="I17" s="48" t="s">
        <v>304</v>
      </c>
      <c r="K17" s="49">
        <v>105.98</v>
      </c>
      <c r="L17" s="49">
        <v>16</v>
      </c>
      <c r="M17" s="49">
        <f t="shared" si="0"/>
        <v>2.5931304401038787E-15</v>
      </c>
      <c r="N17" s="50">
        <f t="shared" si="1"/>
        <v>-28.612877972686917</v>
      </c>
      <c r="O17" s="49">
        <v>3.35</v>
      </c>
      <c r="P17" s="49" t="s">
        <v>313</v>
      </c>
    </row>
    <row r="18" spans="2:16">
      <c r="B18" s="46">
        <v>4</v>
      </c>
      <c r="C18" s="46">
        <v>2</v>
      </c>
      <c r="D18">
        <v>9</v>
      </c>
      <c r="I18" s="48" t="s">
        <v>306</v>
      </c>
      <c r="J18" s="48">
        <v>-97.51</v>
      </c>
      <c r="L18" s="49">
        <v>0</v>
      </c>
      <c r="N18" s="50"/>
    </row>
    <row r="19" spans="2:16">
      <c r="B19" s="46">
        <v>5</v>
      </c>
      <c r="C19" s="46">
        <v>2</v>
      </c>
      <c r="D19">
        <v>5</v>
      </c>
      <c r="N19" s="50"/>
    </row>
    <row r="20" spans="2:16">
      <c r="B20" s="46">
        <v>6</v>
      </c>
      <c r="C20" s="46">
        <v>2</v>
      </c>
      <c r="D20">
        <v>22</v>
      </c>
    </row>
    <row r="21" spans="2:16">
      <c r="B21" s="46">
        <v>7</v>
      </c>
      <c r="C21" s="46">
        <v>2</v>
      </c>
      <c r="D21">
        <v>61</v>
      </c>
    </row>
    <row r="22" spans="2:16">
      <c r="B22" s="46">
        <v>1</v>
      </c>
      <c r="C22">
        <v>3</v>
      </c>
      <c r="D22">
        <v>8</v>
      </c>
    </row>
    <row r="23" spans="2:16">
      <c r="B23" s="46">
        <v>2</v>
      </c>
      <c r="C23" s="46">
        <v>3</v>
      </c>
      <c r="D23">
        <v>17</v>
      </c>
    </row>
    <row r="24" spans="2:16">
      <c r="B24" s="46">
        <v>3</v>
      </c>
      <c r="C24" s="46">
        <v>3</v>
      </c>
      <c r="D24">
        <v>8</v>
      </c>
    </row>
    <row r="25" spans="2:16">
      <c r="B25" s="46">
        <v>4</v>
      </c>
      <c r="C25" s="46">
        <v>3</v>
      </c>
      <c r="D25">
        <v>2</v>
      </c>
    </row>
    <row r="26" spans="2:16">
      <c r="B26" s="46">
        <v>5</v>
      </c>
      <c r="C26" s="46">
        <v>3</v>
      </c>
      <c r="D26">
        <v>4</v>
      </c>
    </row>
    <row r="27" spans="2:16">
      <c r="B27" s="46">
        <v>6</v>
      </c>
      <c r="C27" s="46">
        <v>3</v>
      </c>
      <c r="D27">
        <v>23</v>
      </c>
    </row>
    <row r="28" spans="2:16">
      <c r="B28" s="46">
        <v>7</v>
      </c>
      <c r="C28" s="46">
        <v>3</v>
      </c>
      <c r="D28">
        <v>43</v>
      </c>
    </row>
    <row r="29" spans="2:16">
      <c r="B29" s="46">
        <v>1</v>
      </c>
      <c r="C29">
        <v>4</v>
      </c>
      <c r="D29">
        <v>30</v>
      </c>
    </row>
    <row r="30" spans="2:16">
      <c r="B30" s="46">
        <v>2</v>
      </c>
      <c r="C30" s="46">
        <v>4</v>
      </c>
      <c r="D30">
        <v>16</v>
      </c>
    </row>
    <row r="31" spans="2:16">
      <c r="B31" s="46">
        <v>3</v>
      </c>
      <c r="C31" s="46">
        <v>4</v>
      </c>
      <c r="D31">
        <v>8</v>
      </c>
    </row>
    <row r="32" spans="2:16">
      <c r="B32" s="46">
        <v>4</v>
      </c>
      <c r="C32" s="46">
        <v>4</v>
      </c>
      <c r="D32">
        <v>21</v>
      </c>
    </row>
    <row r="33" spans="2:4">
      <c r="B33" s="46">
        <v>5</v>
      </c>
      <c r="C33" s="46">
        <v>4</v>
      </c>
      <c r="D33">
        <v>11</v>
      </c>
    </row>
    <row r="34" spans="2:4">
      <c r="B34" s="46">
        <v>6</v>
      </c>
      <c r="C34" s="46">
        <v>4</v>
      </c>
      <c r="D34">
        <v>50</v>
      </c>
    </row>
    <row r="35" spans="2:4">
      <c r="B35" s="46">
        <v>7</v>
      </c>
      <c r="C35" s="46">
        <v>4</v>
      </c>
      <c r="D35">
        <v>140</v>
      </c>
    </row>
    <row r="36" spans="2:4">
      <c r="B36" s="46">
        <v>1</v>
      </c>
      <c r="C36">
        <v>5</v>
      </c>
      <c r="D36">
        <v>9</v>
      </c>
    </row>
    <row r="37" spans="2:4">
      <c r="B37" s="46">
        <v>2</v>
      </c>
      <c r="C37" s="46">
        <v>5</v>
      </c>
      <c r="D37">
        <v>6</v>
      </c>
    </row>
    <row r="38" spans="2:4">
      <c r="B38" s="46">
        <v>3</v>
      </c>
      <c r="C38" s="46">
        <v>5</v>
      </c>
      <c r="D38">
        <v>0</v>
      </c>
    </row>
    <row r="39" spans="2:4">
      <c r="B39" s="46">
        <v>4</v>
      </c>
      <c r="C39" s="46">
        <v>5</v>
      </c>
      <c r="D39">
        <v>7</v>
      </c>
    </row>
    <row r="40" spans="2:4">
      <c r="B40" s="46">
        <v>5</v>
      </c>
      <c r="C40" s="46">
        <v>5</v>
      </c>
      <c r="D40">
        <v>10</v>
      </c>
    </row>
    <row r="41" spans="2:4">
      <c r="B41" s="46">
        <v>6</v>
      </c>
      <c r="C41" s="46">
        <v>5</v>
      </c>
      <c r="D41">
        <v>26</v>
      </c>
    </row>
    <row r="42" spans="2:4">
      <c r="B42" s="46">
        <v>7</v>
      </c>
      <c r="C42" s="46">
        <v>5</v>
      </c>
      <c r="D42">
        <v>59</v>
      </c>
    </row>
    <row r="43" spans="2:4">
      <c r="B43" s="46">
        <v>1</v>
      </c>
      <c r="C43">
        <v>6</v>
      </c>
      <c r="D43">
        <v>61</v>
      </c>
    </row>
    <row r="44" spans="2:4">
      <c r="B44" s="46">
        <v>2</v>
      </c>
      <c r="C44" s="46">
        <v>6</v>
      </c>
      <c r="D44">
        <v>35</v>
      </c>
    </row>
    <row r="45" spans="2:4">
      <c r="B45" s="46">
        <v>3</v>
      </c>
      <c r="C45" s="46">
        <v>6</v>
      </c>
      <c r="D45">
        <v>22</v>
      </c>
    </row>
    <row r="46" spans="2:4">
      <c r="B46" s="46">
        <v>4</v>
      </c>
      <c r="C46" s="46">
        <v>6</v>
      </c>
      <c r="D46">
        <v>28</v>
      </c>
    </row>
    <row r="47" spans="2:4">
      <c r="B47" s="46">
        <v>5</v>
      </c>
      <c r="C47" s="46">
        <v>6</v>
      </c>
      <c r="D47">
        <v>12</v>
      </c>
    </row>
    <row r="48" spans="2:4">
      <c r="B48" s="46">
        <v>6</v>
      </c>
      <c r="C48" s="46">
        <v>6</v>
      </c>
      <c r="D48">
        <v>236</v>
      </c>
    </row>
    <row r="49" spans="2:4">
      <c r="B49" s="46">
        <v>7</v>
      </c>
      <c r="C49" s="46">
        <v>6</v>
      </c>
      <c r="D49">
        <v>416</v>
      </c>
    </row>
    <row r="50" spans="2:4">
      <c r="B50" s="46">
        <v>1</v>
      </c>
      <c r="C50">
        <v>7</v>
      </c>
      <c r="D50">
        <v>69</v>
      </c>
    </row>
    <row r="51" spans="2:4">
      <c r="B51" s="46">
        <v>2</v>
      </c>
      <c r="C51" s="46">
        <v>7</v>
      </c>
      <c r="D51">
        <v>31</v>
      </c>
    </row>
    <row r="52" spans="2:4">
      <c r="B52" s="46">
        <v>3</v>
      </c>
      <c r="C52" s="46">
        <v>7</v>
      </c>
      <c r="D52">
        <v>16</v>
      </c>
    </row>
    <row r="53" spans="2:4">
      <c r="B53" s="46">
        <v>4</v>
      </c>
      <c r="C53" s="46">
        <v>7</v>
      </c>
      <c r="D53">
        <v>20</v>
      </c>
    </row>
    <row r="54" spans="2:4">
      <c r="B54" s="46">
        <v>5</v>
      </c>
      <c r="C54" s="46">
        <v>7</v>
      </c>
      <c r="D54">
        <v>10</v>
      </c>
    </row>
    <row r="55" spans="2:4">
      <c r="B55" s="46">
        <v>6</v>
      </c>
      <c r="C55" s="46">
        <v>7</v>
      </c>
      <c r="D55">
        <v>124</v>
      </c>
    </row>
    <row r="56" spans="2:4">
      <c r="B56" s="46">
        <v>7</v>
      </c>
      <c r="C56" s="46">
        <v>7</v>
      </c>
      <c r="D56">
        <v>2495</v>
      </c>
    </row>
    <row r="57" spans="2:4">
      <c r="D57">
        <f>SUM(D8:D56)</f>
        <v>4501</v>
      </c>
    </row>
  </sheetData>
  <pageMargins left="0.7" right="0.7" top="0.75" bottom="0.75" header="0.3" footer="0.3"/>
  <pageSetup orientation="portrait" horizontalDpi="1200" verticalDpi="12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G5:AL84"/>
  <sheetViews>
    <sheetView tabSelected="1" topLeftCell="L1" workbookViewId="0">
      <selection activeCell="U10" sqref="U10"/>
    </sheetView>
  </sheetViews>
  <sheetFormatPr defaultRowHeight="11.4"/>
  <cols>
    <col min="8" max="8" width="12" bestFit="1" customWidth="1"/>
    <col min="10" max="10" width="25.875" style="49" customWidth="1"/>
    <col min="11" max="11" width="13.25" bestFit="1" customWidth="1"/>
    <col min="12" max="12" width="12.125" style="52" bestFit="1" customWidth="1"/>
    <col min="14" max="14" width="11.25" bestFit="1" customWidth="1"/>
    <col min="15" max="15" width="11" customWidth="1"/>
    <col min="21" max="21" width="11.25" bestFit="1" customWidth="1"/>
    <col min="34" max="35" width="11" bestFit="1" customWidth="1"/>
    <col min="36" max="36" width="10" bestFit="1" customWidth="1"/>
    <col min="37" max="37" width="11" bestFit="1" customWidth="1"/>
  </cols>
  <sheetData>
    <row r="5" spans="7:25" ht="45.6">
      <c r="G5" s="51"/>
      <c r="H5" s="51"/>
      <c r="I5" s="51"/>
      <c r="J5" s="48" t="s">
        <v>291</v>
      </c>
      <c r="K5" s="48" t="s">
        <v>305</v>
      </c>
      <c r="L5" s="54" t="s">
        <v>293</v>
      </c>
      <c r="M5" s="49" t="s">
        <v>46</v>
      </c>
      <c r="N5" s="49" t="s">
        <v>294</v>
      </c>
      <c r="O5" s="49" t="s">
        <v>295</v>
      </c>
      <c r="P5" s="49" t="s">
        <v>229</v>
      </c>
      <c r="Q5" s="49" t="s">
        <v>298</v>
      </c>
    </row>
    <row r="6" spans="7:25">
      <c r="G6" s="51" t="s">
        <v>61</v>
      </c>
      <c r="H6" s="53">
        <v>649821</v>
      </c>
      <c r="I6" s="51">
        <v>1</v>
      </c>
      <c r="J6" s="48" t="s">
        <v>307</v>
      </c>
      <c r="K6" s="58">
        <v>-1576481</v>
      </c>
      <c r="L6" s="54">
        <v>3152733</v>
      </c>
      <c r="M6" s="49">
        <v>24</v>
      </c>
      <c r="N6" s="49">
        <f t="shared" ref="N6" si="0">_xlfn.CHISQ.DIST.RT(L6,M6)</f>
        <v>0</v>
      </c>
      <c r="O6" s="50">
        <f t="shared" ref="O6:O12" si="1">L6-M6*$H$7</f>
        <v>3152411.773146736</v>
      </c>
      <c r="P6" s="49">
        <v>82.1</v>
      </c>
      <c r="Q6" s="49"/>
    </row>
    <row r="7" spans="7:25">
      <c r="G7" s="51" t="s">
        <v>296</v>
      </c>
      <c r="H7" s="51">
        <f>LN(H6)</f>
        <v>13.384452219331129</v>
      </c>
      <c r="I7" s="51">
        <v>2</v>
      </c>
      <c r="J7" s="48" t="s">
        <v>292</v>
      </c>
      <c r="K7" s="48">
        <v>-225002.47</v>
      </c>
      <c r="L7" s="54">
        <v>449774.9</v>
      </c>
      <c r="M7" s="49">
        <v>16</v>
      </c>
      <c r="N7" s="49">
        <f t="shared" ref="N7" si="2">_xlfn.CHISQ.DIST.RT(L7,M7)</f>
        <v>0</v>
      </c>
      <c r="O7" s="50">
        <f t="shared" si="1"/>
        <v>449560.74876449071</v>
      </c>
      <c r="P7" s="49">
        <v>19.7</v>
      </c>
      <c r="Q7" s="49"/>
    </row>
    <row r="8" spans="7:25" ht="22.8">
      <c r="I8">
        <v>3</v>
      </c>
      <c r="J8" s="49" t="s">
        <v>308</v>
      </c>
      <c r="K8" s="48">
        <v>-11730.3</v>
      </c>
      <c r="L8" s="54">
        <v>23230.6</v>
      </c>
      <c r="M8" s="49">
        <v>15</v>
      </c>
      <c r="N8" s="49">
        <f t="shared" ref="N8" si="3">_xlfn.CHISQ.DIST.RT(L8,M8)</f>
        <v>0</v>
      </c>
      <c r="O8" s="50">
        <f t="shared" si="1"/>
        <v>23029.833216710031</v>
      </c>
      <c r="P8" s="49">
        <v>2.7</v>
      </c>
      <c r="Q8" s="49"/>
      <c r="S8" t="s">
        <v>326</v>
      </c>
    </row>
    <row r="9" spans="7:25" ht="34.200000000000003">
      <c r="I9">
        <v>4</v>
      </c>
      <c r="J9" s="49" t="s">
        <v>323</v>
      </c>
      <c r="K9" s="48">
        <v>-648.5</v>
      </c>
      <c r="L9" s="52">
        <v>1067.0999999999999</v>
      </c>
      <c r="M9" s="49">
        <v>11</v>
      </c>
      <c r="N9" s="49">
        <f>_xlfn.CHISQ.DIST.RT(L9,M9)</f>
        <v>6.906880192218624E-222</v>
      </c>
      <c r="O9" s="50">
        <f t="shared" si="1"/>
        <v>919.87102558735751</v>
      </c>
      <c r="P9" s="49">
        <v>0.28000000000000003</v>
      </c>
      <c r="S9" s="61">
        <f>L9-L10</f>
        <v>481.8599999999999</v>
      </c>
      <c r="T9">
        <f>M8-M9</f>
        <v>4</v>
      </c>
      <c r="U9">
        <f>_xlfn.CHISQ.DIST.RT(S9,T9)</f>
        <v>5.6120327980955384E-103</v>
      </c>
    </row>
    <row r="10" spans="7:25" ht="22.8">
      <c r="I10" s="56"/>
      <c r="J10" s="49" t="s">
        <v>324</v>
      </c>
      <c r="K10" s="48">
        <v>-407.61</v>
      </c>
      <c r="L10" s="52">
        <v>585.24</v>
      </c>
      <c r="M10" s="49">
        <v>10</v>
      </c>
      <c r="N10" s="49">
        <f t="shared" ref="N9:N15" si="4">_xlfn.CHISQ.DIST.RT(L10,M10)</f>
        <v>2.5568800973887564E-119</v>
      </c>
      <c r="O10" s="50">
        <f t="shared" si="1"/>
        <v>451.39547780668875</v>
      </c>
      <c r="P10" s="49"/>
      <c r="Q10" s="56"/>
      <c r="R10" s="56"/>
      <c r="S10" s="56"/>
      <c r="T10" s="56"/>
      <c r="U10" s="56"/>
      <c r="V10" s="56"/>
      <c r="W10" s="56"/>
      <c r="X10" s="56"/>
      <c r="Y10" s="56"/>
    </row>
    <row r="11" spans="7:25" ht="22.8">
      <c r="I11" s="56"/>
      <c r="J11" s="49" t="s">
        <v>325</v>
      </c>
      <c r="K11" s="48"/>
      <c r="L11" s="52">
        <v>481.09</v>
      </c>
      <c r="M11" s="49">
        <v>9</v>
      </c>
      <c r="N11" s="49">
        <f t="shared" si="4"/>
        <v>6.4197110326190725E-98</v>
      </c>
      <c r="O11" s="50">
        <f t="shared" si="1"/>
        <v>360.62993002601979</v>
      </c>
      <c r="P11" s="49"/>
      <c r="Q11" s="56"/>
      <c r="R11" s="56"/>
      <c r="S11" s="56"/>
      <c r="T11" s="56"/>
      <c r="U11" s="56"/>
      <c r="V11" s="56"/>
      <c r="W11" s="56"/>
      <c r="X11" s="56"/>
      <c r="Y11" s="56"/>
    </row>
    <row r="12" spans="7:25">
      <c r="H12" s="56"/>
      <c r="I12" s="56"/>
      <c r="J12" s="49" t="s">
        <v>322</v>
      </c>
      <c r="L12" s="52">
        <v>110.6</v>
      </c>
      <c r="M12" s="49">
        <v>6</v>
      </c>
      <c r="N12" s="49">
        <f t="shared" ref="N12" si="5">_xlfn.CHISQ.DIST.RT(L12,M12)</f>
        <v>1.5262966042561602E-21</v>
      </c>
      <c r="O12" s="50">
        <f t="shared" si="1"/>
        <v>30.293286684013225</v>
      </c>
      <c r="P12" s="49">
        <v>7.4999999999999997E-2</v>
      </c>
      <c r="Q12" s="56"/>
      <c r="R12" s="56"/>
      <c r="S12" s="56"/>
      <c r="T12" s="56"/>
      <c r="U12" s="56"/>
      <c r="V12" s="56"/>
      <c r="W12" s="56"/>
      <c r="X12" s="56"/>
      <c r="Y12" s="56"/>
    </row>
    <row r="13" spans="7:25">
      <c r="H13" s="56"/>
      <c r="I13" s="56"/>
      <c r="K13" s="48"/>
      <c r="M13" s="49"/>
      <c r="N13" s="49"/>
      <c r="O13" s="50"/>
      <c r="P13" s="49"/>
      <c r="Q13" s="56"/>
      <c r="R13" s="56"/>
      <c r="S13" s="56"/>
      <c r="T13" s="56"/>
      <c r="U13" s="56"/>
      <c r="V13" s="56"/>
      <c r="W13" s="56"/>
      <c r="X13" s="56"/>
      <c r="Y13" s="56"/>
    </row>
    <row r="14" spans="7:25">
      <c r="H14" s="56"/>
      <c r="I14" s="56"/>
      <c r="K14" s="48"/>
      <c r="M14" s="49"/>
      <c r="N14" s="49"/>
      <c r="O14" s="50"/>
      <c r="P14" s="49"/>
      <c r="Q14" s="56"/>
      <c r="R14" s="56"/>
      <c r="S14" s="56"/>
      <c r="T14" s="56"/>
      <c r="U14" s="56"/>
      <c r="V14" s="56"/>
      <c r="W14" s="56"/>
      <c r="X14" s="56"/>
      <c r="Y14" s="56"/>
    </row>
    <row r="15" spans="7:25">
      <c r="J15" s="49" t="s">
        <v>312</v>
      </c>
      <c r="K15" s="48">
        <v>-46234</v>
      </c>
      <c r="L15" s="52">
        <v>92239</v>
      </c>
      <c r="M15" s="49">
        <v>15</v>
      </c>
      <c r="N15" s="49">
        <f t="shared" si="4"/>
        <v>0</v>
      </c>
      <c r="O15" s="50">
        <f>L15-M15*$H$7</f>
        <v>92038.233216710039</v>
      </c>
    </row>
    <row r="16" spans="7:25">
      <c r="J16" s="60" t="s">
        <v>297</v>
      </c>
      <c r="K16">
        <v>-10246</v>
      </c>
      <c r="L16" s="52">
        <v>20262.599999999999</v>
      </c>
      <c r="M16" s="49">
        <v>12</v>
      </c>
      <c r="N16" s="49">
        <f t="shared" ref="N16" si="6">_xlfn.CHISQ.DIST.RT(L16,M16)</f>
        <v>0</v>
      </c>
      <c r="O16" s="50">
        <f>L16-M16*$H$7</f>
        <v>20101.986573368024</v>
      </c>
    </row>
    <row r="19" spans="10:24">
      <c r="J19" s="49" t="s">
        <v>266</v>
      </c>
      <c r="L19" s="52">
        <v>54795</v>
      </c>
      <c r="M19">
        <v>9</v>
      </c>
      <c r="N19" s="49">
        <f t="shared" ref="N19" si="7">_xlfn.CHISQ.DIST.RT(L19,M19)</f>
        <v>0</v>
      </c>
      <c r="O19" s="50">
        <f>L19-M19*$H$7</f>
        <v>54674.539930026018</v>
      </c>
      <c r="P19">
        <v>3.18</v>
      </c>
      <c r="Q19" t="s">
        <v>314</v>
      </c>
    </row>
    <row r="21" spans="10:24">
      <c r="J21" s="49" t="s">
        <v>306</v>
      </c>
      <c r="K21">
        <v>-114.85</v>
      </c>
      <c r="M21">
        <v>0</v>
      </c>
      <c r="T21" t="s">
        <v>315</v>
      </c>
    </row>
    <row r="22" spans="10:24">
      <c r="T22" t="s">
        <v>320</v>
      </c>
      <c r="U22" t="s">
        <v>316</v>
      </c>
      <c r="V22" t="s">
        <v>317</v>
      </c>
      <c r="W22" t="s">
        <v>318</v>
      </c>
      <c r="X22" t="s">
        <v>319</v>
      </c>
    </row>
    <row r="23" spans="10:24">
      <c r="T23">
        <v>-2.0350000000000001</v>
      </c>
      <c r="U23">
        <v>-0.45</v>
      </c>
      <c r="V23">
        <v>-0.15</v>
      </c>
      <c r="W23">
        <v>0.23</v>
      </c>
      <c r="X23">
        <v>2.41</v>
      </c>
    </row>
    <row r="57" spans="34:38">
      <c r="AH57" t="s">
        <v>309</v>
      </c>
      <c r="AI57" t="s">
        <v>266</v>
      </c>
      <c r="AJ57" t="s">
        <v>310</v>
      </c>
      <c r="AK57" t="s">
        <v>311</v>
      </c>
    </row>
    <row r="58" spans="34:38">
      <c r="AH58" t="s">
        <v>27</v>
      </c>
      <c r="AI58" t="s">
        <v>269</v>
      </c>
      <c r="AK58" t="s">
        <v>58</v>
      </c>
      <c r="AL58" t="s">
        <v>230</v>
      </c>
    </row>
    <row r="59" spans="34:38">
      <c r="AH59">
        <v>42521</v>
      </c>
      <c r="AI59">
        <v>41393.19</v>
      </c>
      <c r="AJ59">
        <f>2*(AH59)*(LN(AH59/AI59))</f>
        <v>2286.0732757871401</v>
      </c>
      <c r="AK59">
        <f>((AH59-AI59)^2)/AI59</f>
        <v>30.72861492675473</v>
      </c>
      <c r="AL59">
        <f>(50/$AH$84)*(ABS(AH59-AI59))</f>
        <v>8.6778512852000597E-2</v>
      </c>
    </row>
    <row r="60" spans="34:38">
      <c r="AH60">
        <v>291</v>
      </c>
      <c r="AI60">
        <v>3068.8560000000002</v>
      </c>
      <c r="AJ60" s="55">
        <f t="shared" ref="AJ60:AJ83" si="8">2*(AH60)*(LN(AH60/AI60))</f>
        <v>-1371.0388557363142</v>
      </c>
      <c r="AK60" s="55">
        <f t="shared" ref="AK60:AK83" si="9">((AH60-AI60)^2)/AI60</f>
        <v>2514.4496700842269</v>
      </c>
      <c r="AL60" s="55">
        <f t="shared" ref="AL60:AL83" si="10">(50/$AH$84)*(ABS(AH60-AI60))</f>
        <v>0.21374009150212137</v>
      </c>
    </row>
    <row r="61" spans="34:38">
      <c r="AH61">
        <v>412</v>
      </c>
      <c r="AI61">
        <v>734.32899999999995</v>
      </c>
      <c r="AJ61" s="55">
        <f t="shared" si="8"/>
        <v>-476.21745756397036</v>
      </c>
      <c r="AK61" s="55">
        <f t="shared" si="9"/>
        <v>141.48424512854589</v>
      </c>
      <c r="AL61" s="55">
        <f t="shared" si="10"/>
        <v>2.4801368376829922E-2</v>
      </c>
    </row>
    <row r="62" spans="34:38">
      <c r="AH62">
        <v>393</v>
      </c>
      <c r="AI62">
        <v>296.81799999999998</v>
      </c>
      <c r="AJ62" s="55">
        <f t="shared" si="8"/>
        <v>220.62269803456624</v>
      </c>
      <c r="AK62" s="55">
        <f t="shared" si="9"/>
        <v>31.167170198572872</v>
      </c>
      <c r="AL62" s="55">
        <f t="shared" si="10"/>
        <v>7.4006534107084881E-3</v>
      </c>
    </row>
    <row r="63" spans="34:38">
      <c r="AH63">
        <v>2064</v>
      </c>
      <c r="AI63">
        <v>187.72900000000001</v>
      </c>
      <c r="AJ63" s="55">
        <f t="shared" si="8"/>
        <v>9896.4741890280329</v>
      </c>
      <c r="AK63" s="55">
        <f t="shared" si="9"/>
        <v>18752.525531169929</v>
      </c>
      <c r="AL63" s="55">
        <f t="shared" si="10"/>
        <v>0.14436829526900483</v>
      </c>
    </row>
    <row r="64" spans="34:38">
      <c r="AH64">
        <v>94</v>
      </c>
      <c r="AI64">
        <v>1866.16</v>
      </c>
      <c r="AJ64" s="55">
        <f t="shared" si="8"/>
        <v>-561.80854798961582</v>
      </c>
      <c r="AK64" s="55">
        <f t="shared" si="9"/>
        <v>1682.8948566039355</v>
      </c>
      <c r="AL64" s="55">
        <f t="shared" si="10"/>
        <v>0.13635755077167405</v>
      </c>
    </row>
    <row r="65" spans="34:38">
      <c r="AH65">
        <v>18088</v>
      </c>
      <c r="AI65">
        <v>9754.15</v>
      </c>
      <c r="AJ65" s="55">
        <f t="shared" si="8"/>
        <v>22340.702220301762</v>
      </c>
      <c r="AK65" s="55">
        <f t="shared" si="9"/>
        <v>7120.3596235961113</v>
      </c>
      <c r="AL65" s="55">
        <f t="shared" si="10"/>
        <v>0.64124197278942974</v>
      </c>
    </row>
    <row r="66" spans="34:38">
      <c r="AH66">
        <v>612</v>
      </c>
      <c r="AI66">
        <v>3576.4</v>
      </c>
      <c r="AJ66" s="55">
        <f t="shared" si="8"/>
        <v>-2160.8247581229762</v>
      </c>
      <c r="AK66" s="55">
        <f t="shared" si="9"/>
        <v>2457.126540655408</v>
      </c>
      <c r="AL66" s="55">
        <f t="shared" si="10"/>
        <v>0.22809358269431118</v>
      </c>
    </row>
    <row r="67" spans="34:38">
      <c r="AH67">
        <v>433</v>
      </c>
      <c r="AI67">
        <v>2155.15</v>
      </c>
      <c r="AJ67" s="55">
        <f t="shared" si="8"/>
        <v>-1389.8242420721347</v>
      </c>
      <c r="AK67" s="55">
        <f t="shared" si="9"/>
        <v>1376.1458007563281</v>
      </c>
      <c r="AL67" s="55">
        <f t="shared" si="10"/>
        <v>0.13250956801950076</v>
      </c>
    </row>
    <row r="68" spans="34:38">
      <c r="AH68">
        <v>6067</v>
      </c>
      <c r="AI68">
        <v>7942.17</v>
      </c>
      <c r="AJ68" s="55">
        <f t="shared" si="8"/>
        <v>-3267.9566511758517</v>
      </c>
      <c r="AK68" s="55">
        <f t="shared" si="9"/>
        <v>442.73322390480189</v>
      </c>
      <c r="AL68" s="55">
        <f t="shared" si="10"/>
        <v>0.14428357963192939</v>
      </c>
    </row>
    <row r="69" spans="34:38">
      <c r="AH69">
        <v>310</v>
      </c>
      <c r="AI69">
        <v>323.35000000000002</v>
      </c>
      <c r="AJ69" s="55">
        <f t="shared" si="8"/>
        <v>-26.141078856314156</v>
      </c>
      <c r="AK69" s="55">
        <f t="shared" si="9"/>
        <v>0.55117519715478758</v>
      </c>
      <c r="AL69" s="55">
        <f t="shared" si="10"/>
        <v>1.0272059536395423E-3</v>
      </c>
    </row>
    <row r="70" spans="34:38">
      <c r="AH70">
        <v>633</v>
      </c>
      <c r="AI70">
        <v>3781.23</v>
      </c>
      <c r="AJ70" s="55">
        <f t="shared" si="8"/>
        <v>-2262.7651103218227</v>
      </c>
      <c r="AK70" s="55">
        <f t="shared" si="9"/>
        <v>2621.1978993343437</v>
      </c>
      <c r="AL70" s="55">
        <f t="shared" si="10"/>
        <v>0.24223824714806075</v>
      </c>
    </row>
    <row r="71" spans="34:38">
      <c r="AH71">
        <v>5901</v>
      </c>
      <c r="AI71">
        <v>1502.99</v>
      </c>
      <c r="AJ71" s="55">
        <f t="shared" si="8"/>
        <v>16141.186704839414</v>
      </c>
      <c r="AK71" s="55">
        <f t="shared" si="9"/>
        <v>12869.341752174001</v>
      </c>
      <c r="AL71" s="55">
        <f t="shared" si="10"/>
        <v>0.33840165214728363</v>
      </c>
    </row>
    <row r="72" spans="34:38">
      <c r="AH72">
        <v>258</v>
      </c>
      <c r="AI72">
        <v>976.81</v>
      </c>
      <c r="AJ72" s="55">
        <f t="shared" si="8"/>
        <v>-686.96760887167932</v>
      </c>
      <c r="AK72" s="55">
        <f t="shared" si="9"/>
        <v>528.95426551734727</v>
      </c>
      <c r="AL72" s="55">
        <f t="shared" si="10"/>
        <v>5.5308307980197619E-2</v>
      </c>
    </row>
    <row r="73" spans="34:38">
      <c r="AH73">
        <v>4507</v>
      </c>
      <c r="AI73">
        <v>5024.63</v>
      </c>
      <c r="AJ73" s="55">
        <f t="shared" si="8"/>
        <v>-980.00276222346508</v>
      </c>
      <c r="AK73" s="55">
        <f t="shared" si="9"/>
        <v>53.325482055395142</v>
      </c>
      <c r="AL73" s="55">
        <f t="shared" si="10"/>
        <v>3.9828660508047606E-2</v>
      </c>
    </row>
    <row r="74" spans="34:38">
      <c r="AH74">
        <v>101</v>
      </c>
      <c r="AI74">
        <v>57.76</v>
      </c>
      <c r="AJ74" s="55">
        <f t="shared" si="8"/>
        <v>112.88245249585111</v>
      </c>
      <c r="AK74" s="55">
        <f t="shared" si="9"/>
        <v>32.370110803324103</v>
      </c>
      <c r="AL74" s="55">
        <f t="shared" si="10"/>
        <v>3.3270700700654488E-3</v>
      </c>
    </row>
    <row r="75" spans="34:38">
      <c r="AH75">
        <v>317</v>
      </c>
      <c r="AI75">
        <v>1894.6</v>
      </c>
      <c r="AJ75" s="55">
        <f t="shared" si="8"/>
        <v>-1133.5040258836734</v>
      </c>
      <c r="AK75" s="55">
        <f t="shared" si="9"/>
        <v>1313.6396917555155</v>
      </c>
      <c r="AL75" s="55">
        <f t="shared" si="10"/>
        <v>0.12138727434170332</v>
      </c>
    </row>
    <row r="76" spans="34:38">
      <c r="AH76">
        <v>214</v>
      </c>
      <c r="AI76">
        <v>835.14</v>
      </c>
      <c r="AJ76" s="55">
        <f t="shared" si="8"/>
        <v>-582.77479827067953</v>
      </c>
      <c r="AK76" s="55">
        <f t="shared" si="9"/>
        <v>461.97631486936325</v>
      </c>
      <c r="AL76" s="55">
        <f t="shared" si="10"/>
        <v>4.7793161501398077E-2</v>
      </c>
    </row>
    <row r="77" spans="34:38">
      <c r="AH77">
        <v>3509</v>
      </c>
      <c r="AI77">
        <v>597.923</v>
      </c>
      <c r="AJ77" s="55">
        <f t="shared" si="8"/>
        <v>12419.22398631935</v>
      </c>
      <c r="AK77" s="55">
        <f t="shared" si="9"/>
        <v>14173.011073213442</v>
      </c>
      <c r="AL77" s="55">
        <f t="shared" si="10"/>
        <v>0.22399068358824969</v>
      </c>
    </row>
    <row r="78" spans="34:38">
      <c r="AH78">
        <v>3959</v>
      </c>
      <c r="AI78">
        <v>4714.5590000000002</v>
      </c>
      <c r="AJ78" s="55">
        <f t="shared" si="8"/>
        <v>-1382.9888576227963</v>
      </c>
      <c r="AK78" s="55">
        <f t="shared" si="9"/>
        <v>121.08649027003379</v>
      </c>
      <c r="AL78" s="55">
        <f t="shared" si="10"/>
        <v>5.8135932818422317E-2</v>
      </c>
    </row>
    <row r="79" spans="34:38">
      <c r="AH79">
        <v>615</v>
      </c>
      <c r="AI79">
        <v>0.53600000000000003</v>
      </c>
      <c r="AJ79" s="55">
        <f t="shared" si="8"/>
        <v>8665.6493644329585</v>
      </c>
      <c r="AK79" s="55">
        <f t="shared" si="9"/>
        <v>704414.19271641807</v>
      </c>
      <c r="AL79" s="55">
        <f t="shared" si="10"/>
        <v>4.7279481580312116E-2</v>
      </c>
    </row>
    <row r="80" spans="34:38">
      <c r="AH80">
        <v>5338</v>
      </c>
      <c r="AI80">
        <v>6168.15</v>
      </c>
      <c r="AJ80" s="55">
        <f t="shared" si="8"/>
        <v>-1543.1934236286193</v>
      </c>
      <c r="AK80" s="55">
        <f t="shared" si="9"/>
        <v>111.72702066259728</v>
      </c>
      <c r="AL80" s="55">
        <f t="shared" si="10"/>
        <v>6.3875282577817549E-2</v>
      </c>
    </row>
    <row r="81" spans="33:38">
      <c r="AH81">
        <v>4403</v>
      </c>
      <c r="AI81">
        <v>4893.1750000000002</v>
      </c>
      <c r="AJ81" s="55">
        <f t="shared" si="8"/>
        <v>-929.5195339033055</v>
      </c>
      <c r="AK81" s="55">
        <f t="shared" si="9"/>
        <v>49.103400271807196</v>
      </c>
      <c r="AL81" s="55">
        <f t="shared" si="10"/>
        <v>3.7716155679794909E-2</v>
      </c>
    </row>
    <row r="82" spans="33:38">
      <c r="AH82">
        <v>5505</v>
      </c>
      <c r="AI82">
        <v>6071.3040000000001</v>
      </c>
      <c r="AJ82" s="55">
        <f t="shared" si="8"/>
        <v>-1078.0621936599541</v>
      </c>
      <c r="AK82" s="55">
        <f t="shared" si="9"/>
        <v>52.82229656363775</v>
      </c>
      <c r="AL82" s="55">
        <f t="shared" si="10"/>
        <v>4.3573845720590754E-2</v>
      </c>
    </row>
    <row r="83" spans="33:38">
      <c r="AH83">
        <v>543276</v>
      </c>
      <c r="AI83">
        <v>542003.91</v>
      </c>
      <c r="AJ83" s="55">
        <f t="shared" si="8"/>
        <v>2547.1632782257025</v>
      </c>
      <c r="AK83" s="55">
        <f t="shared" si="9"/>
        <v>2.9856112442065537</v>
      </c>
      <c r="AL83" s="55">
        <f t="shared" si="10"/>
        <v>9.7880031577924326E-2</v>
      </c>
    </row>
    <row r="84" spans="33:38">
      <c r="AG84" s="9" t="s">
        <v>63</v>
      </c>
      <c r="AH84" s="57">
        <f>SUM(AH59:AH83)</f>
        <v>649821</v>
      </c>
      <c r="AI84" s="57">
        <f t="shared" ref="AI84:AL84" si="11">SUM(AI59:AI83)</f>
        <v>649821.01900000009</v>
      </c>
      <c r="AJ84" s="57">
        <f t="shared" si="11"/>
        <v>54796.388263561603</v>
      </c>
      <c r="AK84" s="57">
        <f t="shared" si="11"/>
        <v>771355.90057737497</v>
      </c>
      <c r="AL84" s="57">
        <f t="shared" si="11"/>
        <v>3.1813381685110174</v>
      </c>
    </row>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K94"/>
  <sheetViews>
    <sheetView topLeftCell="B1" zoomScale="125" workbookViewId="0">
      <selection activeCell="K48" sqref="K48"/>
    </sheetView>
  </sheetViews>
  <sheetFormatPr defaultColWidth="11" defaultRowHeight="11.4"/>
  <cols>
    <col min="1" max="2" width="11" customWidth="1"/>
    <col min="3" max="3" width="31.375" customWidth="1"/>
    <col min="4" max="4" width="15.375" customWidth="1"/>
    <col min="5" max="5" width="11" customWidth="1"/>
    <col min="6" max="6" width="13.375" customWidth="1"/>
    <col min="7" max="7" width="14.125" customWidth="1"/>
    <col min="8" max="8" width="16.625" customWidth="1"/>
    <col min="9" max="9" width="15" customWidth="1"/>
    <col min="10" max="10" width="14.375" customWidth="1"/>
  </cols>
  <sheetData>
    <row r="3" spans="1:9">
      <c r="C3" t="s">
        <v>64</v>
      </c>
    </row>
    <row r="4" spans="1:9">
      <c r="A4" t="s">
        <v>37</v>
      </c>
    </row>
    <row r="5" spans="1:9">
      <c r="D5" t="s">
        <v>62</v>
      </c>
    </row>
    <row r="7" spans="1:9">
      <c r="D7">
        <v>1</v>
      </c>
      <c r="E7">
        <v>2</v>
      </c>
      <c r="F7">
        <v>3</v>
      </c>
      <c r="G7">
        <v>4</v>
      </c>
    </row>
    <row r="8" spans="1:9">
      <c r="A8" t="s">
        <v>38</v>
      </c>
      <c r="C8">
        <v>1</v>
      </c>
      <c r="D8">
        <v>32016</v>
      </c>
      <c r="E8">
        <v>33374</v>
      </c>
      <c r="F8">
        <v>8407</v>
      </c>
      <c r="G8">
        <v>988</v>
      </c>
    </row>
    <row r="9" spans="1:9">
      <c r="C9">
        <v>2</v>
      </c>
      <c r="D9">
        <v>28370</v>
      </c>
      <c r="E9">
        <v>137876</v>
      </c>
      <c r="F9">
        <v>43783</v>
      </c>
      <c r="G9">
        <v>8446</v>
      </c>
    </row>
    <row r="10" spans="1:9">
      <c r="C10">
        <v>3</v>
      </c>
      <c r="D10">
        <v>7051</v>
      </c>
      <c r="E10">
        <v>48766</v>
      </c>
      <c r="F10">
        <v>61633</v>
      </c>
      <c r="G10">
        <v>18195</v>
      </c>
    </row>
    <row r="11" spans="1:9">
      <c r="C11">
        <v>4</v>
      </c>
      <c r="D11">
        <v>984</v>
      </c>
      <c r="E11">
        <v>13794</v>
      </c>
      <c r="F11">
        <v>28635</v>
      </c>
      <c r="G11">
        <v>51224</v>
      </c>
    </row>
    <row r="12" spans="1:9">
      <c r="H12">
        <f>SUM(D8:G11)</f>
        <v>523542</v>
      </c>
      <c r="I12" t="s">
        <v>63</v>
      </c>
    </row>
    <row r="13" spans="1:9">
      <c r="A13" t="s">
        <v>65</v>
      </c>
      <c r="B13" t="s">
        <v>66</v>
      </c>
      <c r="C13" t="s">
        <v>27</v>
      </c>
    </row>
    <row r="14" spans="1:9">
      <c r="A14">
        <v>1</v>
      </c>
      <c r="B14">
        <v>1</v>
      </c>
      <c r="C14">
        <v>32016</v>
      </c>
    </row>
    <row r="15" spans="1:9">
      <c r="A15">
        <v>2</v>
      </c>
      <c r="B15">
        <v>1</v>
      </c>
      <c r="C15">
        <v>28370</v>
      </c>
    </row>
    <row r="16" spans="1:9">
      <c r="A16">
        <v>3</v>
      </c>
      <c r="B16">
        <v>1</v>
      </c>
      <c r="C16">
        <v>7051</v>
      </c>
    </row>
    <row r="17" spans="1:10">
      <c r="A17">
        <v>4</v>
      </c>
      <c r="B17">
        <v>1</v>
      </c>
      <c r="C17">
        <v>984</v>
      </c>
    </row>
    <row r="18" spans="1:10">
      <c r="A18">
        <v>1</v>
      </c>
      <c r="B18">
        <v>2</v>
      </c>
      <c r="C18">
        <v>33374</v>
      </c>
    </row>
    <row r="19" spans="1:10">
      <c r="A19">
        <v>2</v>
      </c>
      <c r="B19">
        <v>2</v>
      </c>
      <c r="C19">
        <v>137876</v>
      </c>
    </row>
    <row r="20" spans="1:10">
      <c r="A20">
        <v>3</v>
      </c>
      <c r="B20">
        <v>2</v>
      </c>
      <c r="C20">
        <v>48766</v>
      </c>
    </row>
    <row r="21" spans="1:10">
      <c r="A21">
        <v>4</v>
      </c>
      <c r="B21">
        <v>2</v>
      </c>
      <c r="C21">
        <v>13794</v>
      </c>
    </row>
    <row r="22" spans="1:10">
      <c r="A22">
        <v>1</v>
      </c>
      <c r="B22">
        <v>3</v>
      </c>
      <c r="C22">
        <v>8407</v>
      </c>
    </row>
    <row r="23" spans="1:10">
      <c r="A23">
        <v>2</v>
      </c>
      <c r="B23">
        <v>3</v>
      </c>
      <c r="C23">
        <v>43783</v>
      </c>
    </row>
    <row r="24" spans="1:10">
      <c r="A24">
        <v>3</v>
      </c>
      <c r="B24">
        <v>3</v>
      </c>
      <c r="C24">
        <v>61633</v>
      </c>
    </row>
    <row r="25" spans="1:10">
      <c r="A25">
        <v>4</v>
      </c>
      <c r="B25">
        <v>3</v>
      </c>
      <c r="C25">
        <v>28635</v>
      </c>
    </row>
    <row r="26" spans="1:10">
      <c r="A26">
        <v>1</v>
      </c>
      <c r="B26">
        <v>4</v>
      </c>
      <c r="C26">
        <v>988</v>
      </c>
    </row>
    <row r="27" spans="1:10">
      <c r="A27">
        <v>2</v>
      </c>
      <c r="B27">
        <v>4</v>
      </c>
      <c r="C27">
        <v>8446</v>
      </c>
      <c r="F27" s="7">
        <f>F39-F40</f>
        <v>12238.550000000003</v>
      </c>
      <c r="G27" s="7">
        <f>G40-G39</f>
        <v>12238.549999999988</v>
      </c>
      <c r="J27" s="7">
        <f>J39-J40</f>
        <v>12238.158000000003</v>
      </c>
    </row>
    <row r="28" spans="1:10">
      <c r="A28">
        <v>3</v>
      </c>
      <c r="B28">
        <v>4</v>
      </c>
      <c r="C28">
        <v>18195</v>
      </c>
      <c r="D28" s="7">
        <f>F37-F38</f>
        <v>143875.76999999999</v>
      </c>
    </row>
    <row r="29" spans="1:10">
      <c r="A29">
        <v>4</v>
      </c>
      <c r="B29">
        <v>4</v>
      </c>
      <c r="C29">
        <v>51224</v>
      </c>
      <c r="D29" s="7">
        <f>G38-G37</f>
        <v>143875.76999999999</v>
      </c>
    </row>
    <row r="30" spans="1:10">
      <c r="D30" s="7">
        <f>J37-J38</f>
        <v>143875.72</v>
      </c>
    </row>
    <row r="32" spans="1:10">
      <c r="G32" t="s">
        <v>111</v>
      </c>
      <c r="H32" s="8">
        <v>523542</v>
      </c>
    </row>
    <row r="34" spans="2:11">
      <c r="F34" t="s">
        <v>47</v>
      </c>
      <c r="G34" t="s">
        <v>55</v>
      </c>
      <c r="H34" t="s">
        <v>115</v>
      </c>
      <c r="I34" t="s">
        <v>113</v>
      </c>
      <c r="J34" t="s">
        <v>114</v>
      </c>
      <c r="K34" t="s">
        <v>229</v>
      </c>
    </row>
    <row r="35" spans="2:11">
      <c r="B35" t="s">
        <v>43</v>
      </c>
      <c r="C35" t="s">
        <v>44</v>
      </c>
      <c r="D35" t="s">
        <v>45</v>
      </c>
      <c r="E35" t="s">
        <v>46</v>
      </c>
      <c r="F35" t="s">
        <v>48</v>
      </c>
      <c r="G35" t="s">
        <v>56</v>
      </c>
      <c r="H35" t="s">
        <v>116</v>
      </c>
      <c r="I35" t="s">
        <v>112</v>
      </c>
      <c r="J35" t="s">
        <v>113</v>
      </c>
      <c r="K35" t="s">
        <v>230</v>
      </c>
    </row>
    <row r="36" spans="2:11">
      <c r="B36">
        <v>1</v>
      </c>
      <c r="C36" t="s">
        <v>49</v>
      </c>
      <c r="D36">
        <v>1</v>
      </c>
      <c r="E36">
        <f t="shared" ref="E36:E45" si="0">16-D36</f>
        <v>15</v>
      </c>
      <c r="F36" s="7">
        <v>442816.4</v>
      </c>
      <c r="G36" s="7"/>
      <c r="H36" s="7">
        <f t="shared" ref="H36:H48" si="1">F36-(E36*LN($H$32))</f>
        <v>442618.87441197049</v>
      </c>
      <c r="I36" s="7">
        <v>-221501.223</v>
      </c>
      <c r="J36" s="7">
        <f t="shared" ref="J36:J47" si="2">I36*(-2)</f>
        <v>443002.446</v>
      </c>
      <c r="K36" s="1">
        <v>34.44</v>
      </c>
    </row>
    <row r="37" spans="2:11">
      <c r="B37">
        <v>2</v>
      </c>
      <c r="C37" t="s">
        <v>50</v>
      </c>
      <c r="D37">
        <v>7</v>
      </c>
      <c r="E37">
        <f t="shared" si="0"/>
        <v>9</v>
      </c>
      <c r="F37" s="7">
        <v>227578.9</v>
      </c>
      <c r="G37" s="7">
        <f t="shared" ref="G37:G47" si="3">F$36-F37</f>
        <v>215237.50000000003</v>
      </c>
      <c r="H37" s="7">
        <f t="shared" si="1"/>
        <v>227460.38464718228</v>
      </c>
      <c r="I37" s="7">
        <v>-113882.425</v>
      </c>
      <c r="J37" s="7">
        <f>I37*(-2)</f>
        <v>227764.85</v>
      </c>
      <c r="K37" s="1">
        <v>24.28</v>
      </c>
    </row>
    <row r="38" spans="2:11">
      <c r="B38">
        <v>3</v>
      </c>
      <c r="C38" t="s">
        <v>53</v>
      </c>
      <c r="D38">
        <v>8</v>
      </c>
      <c r="E38">
        <f t="shared" si="0"/>
        <v>8</v>
      </c>
      <c r="F38" s="7">
        <v>83703.13</v>
      </c>
      <c r="G38" s="7">
        <f t="shared" si="3"/>
        <v>359113.27</v>
      </c>
      <c r="H38" s="7">
        <f t="shared" si="1"/>
        <v>83597.783019717594</v>
      </c>
      <c r="I38" s="7">
        <v>-41944.565000000002</v>
      </c>
      <c r="J38" s="7">
        <f t="shared" si="2"/>
        <v>83889.13</v>
      </c>
      <c r="K38" s="1">
        <v>15.09</v>
      </c>
    </row>
    <row r="39" spans="2:11">
      <c r="B39">
        <v>4</v>
      </c>
      <c r="C39" t="s">
        <v>54</v>
      </c>
      <c r="D39">
        <v>11</v>
      </c>
      <c r="E39">
        <f t="shared" si="0"/>
        <v>5</v>
      </c>
      <c r="F39" s="7">
        <v>47932.55</v>
      </c>
      <c r="G39" s="7">
        <f t="shared" si="3"/>
        <v>394883.85000000003</v>
      </c>
      <c r="H39" s="7">
        <f t="shared" si="1"/>
        <v>47866.708137323498</v>
      </c>
      <c r="I39" s="7">
        <v>-24059.274000000001</v>
      </c>
      <c r="J39" s="7">
        <f t="shared" si="2"/>
        <v>48118.548000000003</v>
      </c>
      <c r="K39" s="1">
        <v>8.17</v>
      </c>
    </row>
    <row r="40" spans="2:11" s="36" customFormat="1">
      <c r="B40" s="36">
        <v>5</v>
      </c>
      <c r="C40" s="36" t="s">
        <v>81</v>
      </c>
      <c r="D40" s="36">
        <v>12</v>
      </c>
      <c r="E40" s="36">
        <f t="shared" si="0"/>
        <v>4</v>
      </c>
      <c r="F40" s="37">
        <v>35694</v>
      </c>
      <c r="G40" s="37">
        <f t="shared" si="3"/>
        <v>407122.4</v>
      </c>
      <c r="H40" s="37">
        <f t="shared" si="1"/>
        <v>35641.326509858794</v>
      </c>
      <c r="I40" s="37">
        <v>-17940.195</v>
      </c>
      <c r="J40" s="37">
        <f t="shared" si="2"/>
        <v>35880.39</v>
      </c>
      <c r="K40" s="38">
        <v>6.98</v>
      </c>
    </row>
    <row r="41" spans="2:11">
      <c r="B41">
        <v>6</v>
      </c>
      <c r="C41" t="s">
        <v>82</v>
      </c>
      <c r="D41">
        <v>13</v>
      </c>
      <c r="E41">
        <f t="shared" si="0"/>
        <v>3</v>
      </c>
      <c r="F41" s="7">
        <v>105.26</v>
      </c>
      <c r="G41" s="7">
        <f t="shared" si="3"/>
        <v>442711.14</v>
      </c>
      <c r="H41" s="7">
        <f t="shared" si="1"/>
        <v>65.754882394097308</v>
      </c>
      <c r="I41" s="7">
        <v>-145.62799999999999</v>
      </c>
      <c r="J41" s="7">
        <f t="shared" si="2"/>
        <v>291.25599999999997</v>
      </c>
      <c r="K41" s="1">
        <v>0.34</v>
      </c>
    </row>
    <row r="42" spans="2:11">
      <c r="B42">
        <v>7</v>
      </c>
      <c r="C42" t="s">
        <v>83</v>
      </c>
      <c r="D42">
        <v>14</v>
      </c>
      <c r="E42">
        <f t="shared" si="0"/>
        <v>2</v>
      </c>
      <c r="F42" s="7">
        <v>34.42</v>
      </c>
      <c r="G42" s="7">
        <f t="shared" si="3"/>
        <v>442781.98000000004</v>
      </c>
      <c r="H42" s="7">
        <f t="shared" si="1"/>
        <v>8.0832549293982083</v>
      </c>
      <c r="I42" s="7">
        <v>-110.21</v>
      </c>
      <c r="J42" s="7">
        <f t="shared" si="2"/>
        <v>220.42</v>
      </c>
      <c r="K42" s="1">
        <v>0.1</v>
      </c>
    </row>
    <row r="43" spans="2:11">
      <c r="B43">
        <v>8</v>
      </c>
      <c r="C43" t="s">
        <v>84</v>
      </c>
      <c r="D43">
        <v>15</v>
      </c>
      <c r="E43">
        <f t="shared" si="0"/>
        <v>1</v>
      </c>
      <c r="F43" s="7">
        <v>4.1740000000000004</v>
      </c>
      <c r="G43" s="7">
        <f>F$36-F43</f>
        <v>442812.22600000002</v>
      </c>
      <c r="H43" s="7">
        <f t="shared" si="1"/>
        <v>-8.9943725353008972</v>
      </c>
      <c r="I43" s="7">
        <v>-95.087000000000003</v>
      </c>
      <c r="J43" s="7">
        <f t="shared" si="2"/>
        <v>190.17400000000001</v>
      </c>
      <c r="K43" s="1">
        <v>0.06</v>
      </c>
    </row>
    <row r="44" spans="2:11">
      <c r="B44">
        <v>9</v>
      </c>
      <c r="C44" t="s">
        <v>201</v>
      </c>
      <c r="D44">
        <v>14</v>
      </c>
      <c r="E44">
        <f t="shared" si="0"/>
        <v>2</v>
      </c>
      <c r="F44" s="7">
        <v>4.4770000000000003</v>
      </c>
      <c r="G44" s="7">
        <f t="shared" si="3"/>
        <v>442811.92300000001</v>
      </c>
      <c r="H44" s="7">
        <f t="shared" si="1"/>
        <v>-21.859745070601793</v>
      </c>
      <c r="I44" s="7">
        <v>-95.24</v>
      </c>
      <c r="J44" s="7">
        <f t="shared" si="2"/>
        <v>190.48</v>
      </c>
      <c r="K44" s="1">
        <v>0.08</v>
      </c>
    </row>
    <row r="45" spans="2:11">
      <c r="C45" t="s">
        <v>33</v>
      </c>
      <c r="D45">
        <v>16</v>
      </c>
      <c r="E45">
        <f t="shared" si="0"/>
        <v>0</v>
      </c>
      <c r="F45" s="7">
        <v>0</v>
      </c>
      <c r="G45" s="7">
        <f t="shared" si="3"/>
        <v>442816.4</v>
      </c>
      <c r="H45">
        <f t="shared" si="1"/>
        <v>0</v>
      </c>
      <c r="I45" s="7">
        <v>-92.983999999999995</v>
      </c>
      <c r="J45" s="7">
        <f t="shared" si="2"/>
        <v>185.96799999999999</v>
      </c>
      <c r="K45" s="1">
        <v>0</v>
      </c>
    </row>
    <row r="47" spans="2:11">
      <c r="B47" s="9" t="s">
        <v>272</v>
      </c>
      <c r="C47" t="s">
        <v>267</v>
      </c>
      <c r="D47">
        <v>8</v>
      </c>
      <c r="E47">
        <v>8</v>
      </c>
      <c r="F47" s="7">
        <v>12561</v>
      </c>
      <c r="G47" s="7">
        <f t="shared" si="3"/>
        <v>430255.4</v>
      </c>
      <c r="H47" s="7">
        <f t="shared" si="1"/>
        <v>12455.653019717593</v>
      </c>
      <c r="I47" s="7">
        <v>-6374</v>
      </c>
      <c r="J47" s="7">
        <f t="shared" si="2"/>
        <v>12748</v>
      </c>
      <c r="K47" s="1">
        <v>6.49</v>
      </c>
    </row>
    <row r="48" spans="2:11">
      <c r="B48" s="9" t="s">
        <v>266</v>
      </c>
      <c r="C48" t="s">
        <v>268</v>
      </c>
      <c r="D48">
        <v>12</v>
      </c>
      <c r="E48">
        <v>4</v>
      </c>
      <c r="F48" s="7">
        <v>10528.8</v>
      </c>
      <c r="G48" s="7">
        <f>F$36-F48</f>
        <v>432287.60000000003</v>
      </c>
      <c r="H48" s="7">
        <f t="shared" si="1"/>
        <v>10476.126509858796</v>
      </c>
      <c r="I48" s="7">
        <f>J48/(-2)</f>
        <v>-5357.384</v>
      </c>
      <c r="J48" s="7">
        <f>J45+F48</f>
        <v>10714.768</v>
      </c>
      <c r="K48" s="1">
        <v>6.21</v>
      </c>
    </row>
    <row r="57" spans="2:6">
      <c r="B57" t="s">
        <v>57</v>
      </c>
      <c r="F57" s="7">
        <f>J37-J45</f>
        <v>227578.88200000001</v>
      </c>
    </row>
    <row r="59" spans="2:6">
      <c r="C59" t="s">
        <v>58</v>
      </c>
      <c r="D59" t="s">
        <v>59</v>
      </c>
    </row>
    <row r="60" spans="2:6">
      <c r="C60">
        <f>F38-F39</f>
        <v>35770.58</v>
      </c>
      <c r="D60">
        <f>D39-D38</f>
        <v>3</v>
      </c>
    </row>
    <row r="90" spans="4:8">
      <c r="G90" t="s">
        <v>234</v>
      </c>
      <c r="H90">
        <f>LN(H91)</f>
        <v>15</v>
      </c>
    </row>
    <row r="91" spans="4:8">
      <c r="D91" t="s">
        <v>231</v>
      </c>
      <c r="G91" t="s">
        <v>61</v>
      </c>
      <c r="H91">
        <f>(EXP(1))^15</f>
        <v>3269017.3724721088</v>
      </c>
    </row>
    <row r="92" spans="4:8">
      <c r="E92" t="s">
        <v>59</v>
      </c>
      <c r="F92" t="s">
        <v>233</v>
      </c>
      <c r="G92" t="s">
        <v>60</v>
      </c>
    </row>
    <row r="93" spans="4:8">
      <c r="D93" t="s">
        <v>232</v>
      </c>
      <c r="E93">
        <v>30</v>
      </c>
      <c r="F93">
        <v>500</v>
      </c>
      <c r="G93">
        <f>F93-(E93*$H$90)</f>
        <v>50</v>
      </c>
    </row>
    <row r="94" spans="4:8">
      <c r="D94" t="s">
        <v>235</v>
      </c>
      <c r="E94">
        <v>27</v>
      </c>
      <c r="F94">
        <v>490</v>
      </c>
      <c r="G94">
        <f>F94-(E94*$H$90)</f>
        <v>85</v>
      </c>
    </row>
  </sheetData>
  <phoneticPr fontId="4" type="noConversion"/>
  <pageMargins left="0.75" right="0.75" top="1" bottom="1" header="0.5" footer="0.5"/>
  <pageSetup orientation="portrait"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5:N73"/>
  <sheetViews>
    <sheetView topLeftCell="D97" workbookViewId="0">
      <selection activeCell="H150" sqref="H150"/>
    </sheetView>
  </sheetViews>
  <sheetFormatPr defaultRowHeight="11.4"/>
  <sheetData>
    <row r="5" spans="3:12">
      <c r="E5" t="s">
        <v>62</v>
      </c>
    </row>
    <row r="7" spans="3:12">
      <c r="E7">
        <v>1</v>
      </c>
      <c r="F7">
        <v>2</v>
      </c>
      <c r="G7">
        <v>3</v>
      </c>
      <c r="H7">
        <v>4</v>
      </c>
    </row>
    <row r="8" spans="3:12">
      <c r="C8" t="s">
        <v>254</v>
      </c>
      <c r="D8">
        <v>1</v>
      </c>
      <c r="E8">
        <v>32016</v>
      </c>
      <c r="F8">
        <v>33374</v>
      </c>
      <c r="G8">
        <v>8407</v>
      </c>
      <c r="H8">
        <v>988</v>
      </c>
    </row>
    <row r="9" spans="3:12">
      <c r="D9">
        <v>2</v>
      </c>
      <c r="E9">
        <v>28370</v>
      </c>
      <c r="F9">
        <v>137876</v>
      </c>
      <c r="G9">
        <v>43783</v>
      </c>
      <c r="H9">
        <v>8446</v>
      </c>
    </row>
    <row r="10" spans="3:12">
      <c r="D10">
        <v>3</v>
      </c>
      <c r="E10">
        <v>7051</v>
      </c>
      <c r="F10">
        <v>48766</v>
      </c>
      <c r="G10">
        <v>61633</v>
      </c>
      <c r="H10">
        <v>18195</v>
      </c>
    </row>
    <row r="11" spans="3:12">
      <c r="D11">
        <v>4</v>
      </c>
      <c r="E11">
        <v>984</v>
      </c>
      <c r="F11">
        <v>13794</v>
      </c>
      <c r="G11">
        <v>28635</v>
      </c>
      <c r="H11">
        <v>51224</v>
      </c>
    </row>
    <row r="12" spans="3:12">
      <c r="I12">
        <f>SUM(E8:H11)</f>
        <v>523542</v>
      </c>
      <c r="J12" t="s">
        <v>63</v>
      </c>
    </row>
    <row r="16" spans="3:12">
      <c r="L16" t="s">
        <v>256</v>
      </c>
    </row>
    <row r="17" spans="4:14">
      <c r="F17" t="s">
        <v>255</v>
      </c>
      <c r="L17" t="s">
        <v>255</v>
      </c>
    </row>
    <row r="18" spans="4:14">
      <c r="E18">
        <v>1</v>
      </c>
      <c r="F18">
        <v>2</v>
      </c>
      <c r="G18">
        <v>3</v>
      </c>
      <c r="H18">
        <v>4</v>
      </c>
      <c r="K18">
        <v>1</v>
      </c>
      <c r="L18">
        <v>2</v>
      </c>
      <c r="M18">
        <v>3</v>
      </c>
      <c r="N18">
        <v>4</v>
      </c>
    </row>
    <row r="19" spans="4:14">
      <c r="D19">
        <v>1</v>
      </c>
      <c r="E19" s="39">
        <f>$D19+E$18</f>
        <v>2</v>
      </c>
      <c r="F19" s="39">
        <f>$D19+F$18</f>
        <v>3</v>
      </c>
      <c r="G19" s="40">
        <f>$D19+G$18</f>
        <v>4</v>
      </c>
      <c r="H19">
        <v>1</v>
      </c>
      <c r="J19">
        <v>1</v>
      </c>
      <c r="K19">
        <f t="shared" ref="K19:M21" si="0">E19+F20-(F19+E20)</f>
        <v>0</v>
      </c>
      <c r="L19">
        <f t="shared" si="0"/>
        <v>0</v>
      </c>
      <c r="M19">
        <f t="shared" si="0"/>
        <v>0</v>
      </c>
    </row>
    <row r="20" spans="4:14">
      <c r="D20">
        <v>2</v>
      </c>
      <c r="E20" s="39">
        <f t="shared" ref="E20:G21" si="1">$D20+E$18</f>
        <v>3</v>
      </c>
      <c r="F20" s="39">
        <f t="shared" si="1"/>
        <v>4</v>
      </c>
      <c r="G20" s="40">
        <f t="shared" si="1"/>
        <v>5</v>
      </c>
      <c r="H20">
        <v>2</v>
      </c>
      <c r="J20">
        <v>2</v>
      </c>
      <c r="K20">
        <f t="shared" si="0"/>
        <v>0</v>
      </c>
      <c r="L20">
        <f t="shared" si="0"/>
        <v>0</v>
      </c>
      <c r="M20">
        <f t="shared" si="0"/>
        <v>0</v>
      </c>
    </row>
    <row r="21" spans="4:14">
      <c r="D21">
        <v>3</v>
      </c>
      <c r="E21" s="40">
        <f t="shared" si="1"/>
        <v>4</v>
      </c>
      <c r="F21" s="40">
        <f t="shared" si="1"/>
        <v>5</v>
      </c>
      <c r="G21" s="40">
        <f t="shared" si="1"/>
        <v>6</v>
      </c>
      <c r="H21">
        <v>3</v>
      </c>
      <c r="J21">
        <v>3</v>
      </c>
      <c r="K21">
        <f t="shared" si="0"/>
        <v>0</v>
      </c>
      <c r="L21">
        <f t="shared" si="0"/>
        <v>0</v>
      </c>
      <c r="M21">
        <f t="shared" si="0"/>
        <v>0</v>
      </c>
    </row>
    <row r="22" spans="4:14">
      <c r="D22">
        <v>4</v>
      </c>
      <c r="E22" s="40">
        <f>+E$18</f>
        <v>1</v>
      </c>
      <c r="F22" s="40">
        <f>+F$18</f>
        <v>2</v>
      </c>
      <c r="G22" s="40">
        <f>+G$18</f>
        <v>3</v>
      </c>
      <c r="H22">
        <v>0</v>
      </c>
      <c r="J22">
        <v>4</v>
      </c>
    </row>
    <row r="30" spans="4:14">
      <c r="L30" t="s">
        <v>256</v>
      </c>
    </row>
    <row r="31" spans="4:14">
      <c r="F31" t="s">
        <v>257</v>
      </c>
      <c r="L31" t="s">
        <v>262</v>
      </c>
    </row>
    <row r="32" spans="4:14">
      <c r="E32">
        <v>1</v>
      </c>
      <c r="F32">
        <v>2</v>
      </c>
      <c r="G32">
        <v>3</v>
      </c>
      <c r="H32">
        <v>4</v>
      </c>
      <c r="K32">
        <v>1</v>
      </c>
      <c r="L32">
        <v>2</v>
      </c>
      <c r="M32">
        <v>3</v>
      </c>
      <c r="N32">
        <v>4</v>
      </c>
    </row>
    <row r="33" spans="4:14">
      <c r="D33">
        <v>1</v>
      </c>
      <c r="E33" s="39">
        <f>$D33*E$32</f>
        <v>1</v>
      </c>
      <c r="F33" s="39">
        <f>$D33*F$32</f>
        <v>2</v>
      </c>
      <c r="G33" s="40">
        <f>$D33*G$32</f>
        <v>3</v>
      </c>
      <c r="H33" s="40">
        <f>$D33*H$32</f>
        <v>4</v>
      </c>
      <c r="J33">
        <v>1</v>
      </c>
      <c r="K33">
        <f t="shared" ref="K33:M35" si="2">E33+F34-(F33+E34)</f>
        <v>1</v>
      </c>
      <c r="L33">
        <f t="shared" si="2"/>
        <v>1</v>
      </c>
      <c r="M33">
        <f t="shared" si="2"/>
        <v>1</v>
      </c>
    </row>
    <row r="34" spans="4:14">
      <c r="D34">
        <v>2</v>
      </c>
      <c r="E34" s="39">
        <f t="shared" ref="E34:H36" si="3">$D34*E$32</f>
        <v>2</v>
      </c>
      <c r="F34" s="39">
        <f t="shared" si="3"/>
        <v>4</v>
      </c>
      <c r="G34" s="40">
        <f t="shared" si="3"/>
        <v>6</v>
      </c>
      <c r="H34" s="40">
        <f t="shared" si="3"/>
        <v>8</v>
      </c>
      <c r="J34">
        <v>2</v>
      </c>
      <c r="K34">
        <f t="shared" si="2"/>
        <v>1</v>
      </c>
      <c r="L34">
        <f t="shared" si="2"/>
        <v>1</v>
      </c>
      <c r="M34">
        <f t="shared" si="2"/>
        <v>1</v>
      </c>
    </row>
    <row r="35" spans="4:14">
      <c r="D35">
        <v>3</v>
      </c>
      <c r="E35" s="40">
        <f t="shared" si="3"/>
        <v>3</v>
      </c>
      <c r="F35" s="40">
        <f t="shared" si="3"/>
        <v>6</v>
      </c>
      <c r="G35" s="40">
        <f t="shared" si="3"/>
        <v>9</v>
      </c>
      <c r="H35" s="40">
        <f t="shared" si="3"/>
        <v>12</v>
      </c>
      <c r="J35">
        <v>3</v>
      </c>
      <c r="K35">
        <f t="shared" si="2"/>
        <v>1</v>
      </c>
      <c r="L35">
        <f t="shared" si="2"/>
        <v>1</v>
      </c>
      <c r="M35">
        <f t="shared" si="2"/>
        <v>1</v>
      </c>
    </row>
    <row r="36" spans="4:14">
      <c r="D36">
        <v>4</v>
      </c>
      <c r="E36" s="40">
        <f t="shared" si="3"/>
        <v>4</v>
      </c>
      <c r="F36" s="40">
        <f t="shared" si="3"/>
        <v>8</v>
      </c>
      <c r="G36" s="40">
        <f t="shared" si="3"/>
        <v>12</v>
      </c>
      <c r="H36" s="40">
        <f t="shared" si="3"/>
        <v>16</v>
      </c>
      <c r="J36">
        <v>4</v>
      </c>
    </row>
    <row r="40" spans="4:14">
      <c r="F40" s="9" t="s">
        <v>259</v>
      </c>
      <c r="G40">
        <f>EXP(G41)</f>
        <v>2.7181953884713033</v>
      </c>
    </row>
    <row r="41" spans="4:14">
      <c r="F41" s="9" t="s">
        <v>258</v>
      </c>
      <c r="G41">
        <v>0.99996819999999997</v>
      </c>
    </row>
    <row r="42" spans="4:14">
      <c r="L42" t="s">
        <v>256</v>
      </c>
    </row>
    <row r="43" spans="4:14">
      <c r="F43" t="s">
        <v>257</v>
      </c>
      <c r="L43" t="s">
        <v>263</v>
      </c>
    </row>
    <row r="44" spans="4:14">
      <c r="E44">
        <v>1</v>
      </c>
      <c r="F44">
        <v>2</v>
      </c>
      <c r="G44">
        <v>3</v>
      </c>
      <c r="H44">
        <v>4</v>
      </c>
      <c r="K44">
        <v>1</v>
      </c>
      <c r="L44">
        <v>2</v>
      </c>
      <c r="M44">
        <v>3</v>
      </c>
      <c r="N44">
        <v>4</v>
      </c>
    </row>
    <row r="45" spans="4:14">
      <c r="D45">
        <v>1</v>
      </c>
      <c r="E45" s="39">
        <f>$D45*E$32*$G$41</f>
        <v>0.99996819999999997</v>
      </c>
      <c r="F45" s="39">
        <f>$D45*F$32*$G$41</f>
        <v>1.9999363999999999</v>
      </c>
      <c r="G45" s="40">
        <f>$D45*G$32*$G$41</f>
        <v>2.9999045999999998</v>
      </c>
      <c r="H45" s="40">
        <f>$D45*H$32*$G$41</f>
        <v>3.9998727999999999</v>
      </c>
      <c r="J45">
        <v>1</v>
      </c>
      <c r="K45">
        <f t="shared" ref="K45:M47" si="4">E45+F46-(F45+E46)</f>
        <v>0.99996820000000008</v>
      </c>
      <c r="L45">
        <f t="shared" si="4"/>
        <v>0.99996820000000053</v>
      </c>
      <c r="M45">
        <f t="shared" si="4"/>
        <v>0.99996819999999964</v>
      </c>
    </row>
    <row r="46" spans="4:14">
      <c r="D46">
        <v>2</v>
      </c>
      <c r="E46" s="39">
        <f t="shared" ref="E46:H48" si="5">$D46*E$32*$G$41</f>
        <v>1.9999363999999999</v>
      </c>
      <c r="F46" s="39">
        <f t="shared" si="5"/>
        <v>3.9998727999999999</v>
      </c>
      <c r="G46" s="40">
        <f t="shared" si="5"/>
        <v>5.9998091999999996</v>
      </c>
      <c r="H46" s="40">
        <f t="shared" si="5"/>
        <v>7.9997455999999998</v>
      </c>
      <c r="J46">
        <v>2</v>
      </c>
      <c r="K46">
        <f t="shared" si="4"/>
        <v>0.99996820000000053</v>
      </c>
      <c r="L46">
        <f t="shared" si="4"/>
        <v>0.99996820000000142</v>
      </c>
      <c r="M46">
        <f t="shared" si="4"/>
        <v>0.99996819999999786</v>
      </c>
    </row>
    <row r="47" spans="4:14">
      <c r="D47">
        <v>3</v>
      </c>
      <c r="E47" s="40">
        <f t="shared" si="5"/>
        <v>2.9999045999999998</v>
      </c>
      <c r="F47" s="40">
        <f t="shared" si="5"/>
        <v>5.9998091999999996</v>
      </c>
      <c r="G47" s="40">
        <f t="shared" si="5"/>
        <v>8.9997138000000003</v>
      </c>
      <c r="H47" s="40">
        <f t="shared" si="5"/>
        <v>11.999618399999999</v>
      </c>
      <c r="J47">
        <v>3</v>
      </c>
      <c r="K47">
        <f t="shared" si="4"/>
        <v>0.99996819999999964</v>
      </c>
      <c r="L47">
        <f t="shared" si="4"/>
        <v>0.99996819999999786</v>
      </c>
      <c r="M47">
        <f t="shared" si="4"/>
        <v>0.99996820000000142</v>
      </c>
    </row>
    <row r="48" spans="4:14">
      <c r="D48">
        <v>4</v>
      </c>
      <c r="E48" s="40">
        <f t="shared" si="5"/>
        <v>3.9998727999999999</v>
      </c>
      <c r="F48" s="40">
        <f t="shared" si="5"/>
        <v>7.9997455999999998</v>
      </c>
      <c r="G48" s="40">
        <f t="shared" si="5"/>
        <v>11.999618399999999</v>
      </c>
      <c r="H48" s="40">
        <f t="shared" si="5"/>
        <v>15.9994912</v>
      </c>
      <c r="J48">
        <v>4</v>
      </c>
    </row>
    <row r="55" spans="4:14">
      <c r="L55" t="s">
        <v>256</v>
      </c>
    </row>
    <row r="56" spans="4:14">
      <c r="F56" t="s">
        <v>260</v>
      </c>
      <c r="L56" t="s">
        <v>264</v>
      </c>
    </row>
    <row r="57" spans="4:14">
      <c r="E57">
        <v>10.5</v>
      </c>
      <c r="F57">
        <v>12</v>
      </c>
      <c r="G57">
        <v>14</v>
      </c>
      <c r="H57">
        <v>17.5</v>
      </c>
      <c r="K57">
        <v>1</v>
      </c>
      <c r="L57">
        <v>2</v>
      </c>
      <c r="M57">
        <v>3</v>
      </c>
      <c r="N57">
        <v>4</v>
      </c>
    </row>
    <row r="58" spans="4:14">
      <c r="D58">
        <v>10.5</v>
      </c>
      <c r="E58" s="39">
        <f>$D58*E$57</f>
        <v>110.25</v>
      </c>
      <c r="F58" s="39">
        <f>$D58*F$57</f>
        <v>126</v>
      </c>
      <c r="G58" s="39">
        <f>$D58*G$57</f>
        <v>147</v>
      </c>
      <c r="H58" s="39">
        <f>$D58*H$57</f>
        <v>183.75</v>
      </c>
      <c r="J58">
        <v>1</v>
      </c>
      <c r="K58">
        <f t="shared" ref="K58:M60" si="6">E58+F59-(F58+E59)</f>
        <v>2.25</v>
      </c>
      <c r="L58">
        <f t="shared" si="6"/>
        <v>3</v>
      </c>
      <c r="M58">
        <f t="shared" si="6"/>
        <v>5.25</v>
      </c>
    </row>
    <row r="59" spans="4:14">
      <c r="D59">
        <v>12</v>
      </c>
      <c r="E59" s="39">
        <f t="shared" ref="E59:H61" si="7">$D59*E$57</f>
        <v>126</v>
      </c>
      <c r="F59" s="39">
        <f t="shared" si="7"/>
        <v>144</v>
      </c>
      <c r="G59" s="39">
        <f t="shared" si="7"/>
        <v>168</v>
      </c>
      <c r="H59" s="39">
        <f t="shared" si="7"/>
        <v>210</v>
      </c>
      <c r="J59">
        <v>2</v>
      </c>
      <c r="K59">
        <f t="shared" si="6"/>
        <v>3</v>
      </c>
      <c r="L59">
        <f t="shared" si="6"/>
        <v>4</v>
      </c>
      <c r="M59">
        <f t="shared" si="6"/>
        <v>7</v>
      </c>
    </row>
    <row r="60" spans="4:14">
      <c r="D60">
        <v>14</v>
      </c>
      <c r="E60" s="39">
        <f t="shared" si="7"/>
        <v>147</v>
      </c>
      <c r="F60" s="39">
        <f t="shared" si="7"/>
        <v>168</v>
      </c>
      <c r="G60" s="39">
        <f t="shared" si="7"/>
        <v>196</v>
      </c>
      <c r="H60" s="39">
        <f t="shared" si="7"/>
        <v>245</v>
      </c>
      <c r="J60">
        <v>3</v>
      </c>
      <c r="K60">
        <f t="shared" si="6"/>
        <v>5.25</v>
      </c>
      <c r="L60">
        <f t="shared" si="6"/>
        <v>7</v>
      </c>
      <c r="M60">
        <f t="shared" si="6"/>
        <v>12.25</v>
      </c>
    </row>
    <row r="61" spans="4:14">
      <c r="D61">
        <v>17.5</v>
      </c>
      <c r="E61" s="39">
        <f t="shared" si="7"/>
        <v>183.75</v>
      </c>
      <c r="F61" s="39">
        <f t="shared" si="7"/>
        <v>210</v>
      </c>
      <c r="G61" s="39">
        <f t="shared" si="7"/>
        <v>245</v>
      </c>
      <c r="H61" s="39">
        <f t="shared" si="7"/>
        <v>306.25</v>
      </c>
      <c r="J61">
        <v>4</v>
      </c>
    </row>
    <row r="66" spans="4:14">
      <c r="F66" s="9" t="s">
        <v>259</v>
      </c>
      <c r="G66">
        <f>EXP(G67)</f>
        <v>1.1653249789427378</v>
      </c>
    </row>
    <row r="67" spans="4:14">
      <c r="F67" s="9" t="s">
        <v>258</v>
      </c>
      <c r="G67">
        <v>0.153</v>
      </c>
      <c r="L67" t="s">
        <v>256</v>
      </c>
    </row>
    <row r="68" spans="4:14">
      <c r="F68" t="s">
        <v>261</v>
      </c>
      <c r="L68" t="s">
        <v>265</v>
      </c>
    </row>
    <row r="69" spans="4:14">
      <c r="E69">
        <v>10.5</v>
      </c>
      <c r="F69">
        <v>12</v>
      </c>
      <c r="G69">
        <v>14</v>
      </c>
      <c r="H69">
        <v>17.5</v>
      </c>
      <c r="K69">
        <v>1</v>
      </c>
      <c r="L69">
        <v>2</v>
      </c>
      <c r="M69">
        <v>3</v>
      </c>
      <c r="N69">
        <v>4</v>
      </c>
    </row>
    <row r="70" spans="4:14">
      <c r="D70">
        <v>10.5</v>
      </c>
      <c r="E70" s="39">
        <f>$D70*E$57*$G$67</f>
        <v>16.86825</v>
      </c>
      <c r="F70" s="39">
        <f>$D70*F$57*$G$67</f>
        <v>19.277999999999999</v>
      </c>
      <c r="G70" s="39">
        <f>$D70*G$57*$G$67</f>
        <v>22.491</v>
      </c>
      <c r="H70" s="39">
        <f>$D70*H$57*$G$67</f>
        <v>28.11375</v>
      </c>
      <c r="J70">
        <v>1</v>
      </c>
      <c r="K70">
        <f t="shared" ref="K70:M72" si="8">E70+F71-(F70+E71)</f>
        <v>0.34425000000000239</v>
      </c>
      <c r="L70">
        <f t="shared" si="8"/>
        <v>0.45900000000000318</v>
      </c>
      <c r="M70">
        <f t="shared" si="8"/>
        <v>0.80324999999999847</v>
      </c>
    </row>
    <row r="71" spans="4:14">
      <c r="D71">
        <v>12</v>
      </c>
      <c r="E71" s="39">
        <f t="shared" ref="E71:H73" si="9">$D71*E$57*$G$67</f>
        <v>19.277999999999999</v>
      </c>
      <c r="F71" s="39">
        <f t="shared" si="9"/>
        <v>22.032</v>
      </c>
      <c r="G71" s="39">
        <f t="shared" si="9"/>
        <v>25.704000000000001</v>
      </c>
      <c r="H71" s="39">
        <f t="shared" si="9"/>
        <v>32.130000000000003</v>
      </c>
      <c r="J71">
        <v>2</v>
      </c>
      <c r="K71">
        <f t="shared" si="8"/>
        <v>0.45900000000000318</v>
      </c>
      <c r="L71">
        <f t="shared" si="8"/>
        <v>0.61199999999999477</v>
      </c>
      <c r="M71">
        <f t="shared" si="8"/>
        <v>1.070999999999998</v>
      </c>
    </row>
    <row r="72" spans="4:14">
      <c r="D72">
        <v>14</v>
      </c>
      <c r="E72" s="39">
        <f t="shared" si="9"/>
        <v>22.491</v>
      </c>
      <c r="F72" s="39">
        <f t="shared" si="9"/>
        <v>25.704000000000001</v>
      </c>
      <c r="G72" s="39">
        <f t="shared" si="9"/>
        <v>29.988</v>
      </c>
      <c r="H72" s="39">
        <f t="shared" si="9"/>
        <v>37.484999999999999</v>
      </c>
      <c r="J72">
        <v>3</v>
      </c>
      <c r="K72">
        <f t="shared" si="8"/>
        <v>0.80324999999999847</v>
      </c>
      <c r="L72">
        <f t="shared" si="8"/>
        <v>1.070999999999998</v>
      </c>
      <c r="M72">
        <f t="shared" si="8"/>
        <v>1.8742499999999893</v>
      </c>
    </row>
    <row r="73" spans="4:14">
      <c r="D73">
        <v>17.5</v>
      </c>
      <c r="E73" s="39">
        <f t="shared" si="9"/>
        <v>28.11375</v>
      </c>
      <c r="F73" s="39">
        <f t="shared" si="9"/>
        <v>32.130000000000003</v>
      </c>
      <c r="G73" s="39">
        <f t="shared" si="9"/>
        <v>37.484999999999999</v>
      </c>
      <c r="H73" s="39">
        <f t="shared" si="9"/>
        <v>46.856249999999996</v>
      </c>
      <c r="J73">
        <v>4</v>
      </c>
    </row>
  </sheetData>
  <phoneticPr fontId="4" type="noConversion"/>
  <pageMargins left="0.75" right="0.75" top="1" bottom="1" header="0.5" footer="0.5"/>
  <pageSetup orientation="portrait" horizontalDpi="0" verticalDpi="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D4:J22"/>
  <sheetViews>
    <sheetView topLeftCell="A100" workbookViewId="0">
      <selection activeCell="P131" sqref="P131"/>
    </sheetView>
  </sheetViews>
  <sheetFormatPr defaultRowHeight="11.4"/>
  <sheetData>
    <row r="4" spans="4:10">
      <c r="H4" t="s">
        <v>270</v>
      </c>
      <c r="I4" t="s">
        <v>271</v>
      </c>
    </row>
    <row r="5" spans="4:10">
      <c r="D5" t="s">
        <v>65</v>
      </c>
      <c r="E5" t="s">
        <v>66</v>
      </c>
      <c r="F5" t="s">
        <v>27</v>
      </c>
      <c r="G5" t="s">
        <v>269</v>
      </c>
      <c r="H5" t="s">
        <v>58</v>
      </c>
      <c r="I5" t="s">
        <v>58</v>
      </c>
      <c r="J5" t="s">
        <v>230</v>
      </c>
    </row>
    <row r="6" spans="4:10">
      <c r="D6">
        <v>1</v>
      </c>
      <c r="E6">
        <v>1</v>
      </c>
      <c r="F6">
        <v>32016</v>
      </c>
      <c r="G6">
        <v>29323.7</v>
      </c>
      <c r="H6">
        <f>((G6-F6)^2)/G6</f>
        <v>247.18842744946906</v>
      </c>
      <c r="I6">
        <f>(LN(F6/G6))*2*F6</f>
        <v>5624.5526347388804</v>
      </c>
      <c r="J6">
        <f>50*(ABS((G6/$F$22)-(F6/$F$22)))</f>
        <v>0.25712359275855623</v>
      </c>
    </row>
    <row r="7" spans="4:10">
      <c r="D7">
        <v>2</v>
      </c>
      <c r="E7">
        <v>1</v>
      </c>
      <c r="F7">
        <v>28370</v>
      </c>
      <c r="G7">
        <v>33184.6</v>
      </c>
      <c r="H7">
        <f t="shared" ref="H7:H21" si="0">((G7-F7)^2)/G7</f>
        <v>698.52802685583026</v>
      </c>
      <c r="I7">
        <f t="shared" ref="I7:I21" si="1">(LN(F7/G7))*2*F7</f>
        <v>-8894.202899092943</v>
      </c>
      <c r="J7">
        <f t="shared" ref="J7:J21" si="2">50*(ABS((G7/$F$22)-(F7/$F$22)))</f>
        <v>0.45981029220196268</v>
      </c>
    </row>
    <row r="8" spans="4:10">
      <c r="D8">
        <v>3</v>
      </c>
      <c r="E8">
        <v>1</v>
      </c>
      <c r="F8">
        <v>7051</v>
      </c>
      <c r="G8">
        <v>5547.5</v>
      </c>
      <c r="H8">
        <f t="shared" si="0"/>
        <v>407.48305543037407</v>
      </c>
      <c r="I8">
        <f t="shared" si="1"/>
        <v>3381.970900413136</v>
      </c>
      <c r="J8">
        <f t="shared" si="2"/>
        <v>0.14358924403390755</v>
      </c>
    </row>
    <row r="9" spans="4:10">
      <c r="D9">
        <v>4</v>
      </c>
      <c r="E9">
        <v>1</v>
      </c>
      <c r="F9">
        <v>984</v>
      </c>
      <c r="G9">
        <v>365.2</v>
      </c>
      <c r="H9">
        <f t="shared" si="0"/>
        <v>1048.5033953997809</v>
      </c>
      <c r="I9">
        <f t="shared" si="1"/>
        <v>1950.6437127162742</v>
      </c>
      <c r="J9">
        <f t="shared" si="2"/>
        <v>5.9097455409499143E-2</v>
      </c>
    </row>
    <row r="10" spans="4:10">
      <c r="D10">
        <v>1</v>
      </c>
      <c r="E10">
        <v>2</v>
      </c>
      <c r="F10">
        <v>33374</v>
      </c>
      <c r="G10">
        <v>38493</v>
      </c>
      <c r="H10">
        <f t="shared" si="0"/>
        <v>680.75133141090589</v>
      </c>
      <c r="I10">
        <f t="shared" si="1"/>
        <v>-9524.8897296509676</v>
      </c>
      <c r="J10">
        <f t="shared" si="2"/>
        <v>0.48888150329868474</v>
      </c>
    </row>
    <row r="11" spans="4:10">
      <c r="D11">
        <v>2</v>
      </c>
      <c r="E11">
        <v>2</v>
      </c>
      <c r="F11">
        <v>137876</v>
      </c>
      <c r="G11">
        <v>125988</v>
      </c>
      <c r="H11">
        <f t="shared" si="0"/>
        <v>1121.7301965266533</v>
      </c>
      <c r="I11">
        <f t="shared" si="1"/>
        <v>24864.024583356131</v>
      </c>
      <c r="J11">
        <f t="shared" si="2"/>
        <v>1.1353434872464847</v>
      </c>
    </row>
    <row r="12" spans="4:10">
      <c r="D12">
        <v>3</v>
      </c>
      <c r="E12">
        <v>2</v>
      </c>
      <c r="F12">
        <v>48766</v>
      </c>
      <c r="G12">
        <v>56545.7</v>
      </c>
      <c r="H12">
        <f t="shared" si="0"/>
        <v>1070.3507444421052</v>
      </c>
      <c r="I12">
        <f t="shared" si="1"/>
        <v>-14436.278180164256</v>
      </c>
      <c r="J12">
        <f t="shared" si="2"/>
        <v>0.74298719109450606</v>
      </c>
    </row>
    <row r="13" spans="4:10">
      <c r="D13">
        <v>4</v>
      </c>
      <c r="E13">
        <v>2</v>
      </c>
      <c r="F13">
        <v>13794</v>
      </c>
      <c r="G13">
        <v>12782.6</v>
      </c>
      <c r="H13">
        <f t="shared" si="0"/>
        <v>80.025187364072977</v>
      </c>
      <c r="I13">
        <f t="shared" si="1"/>
        <v>2100.7943047381896</v>
      </c>
      <c r="J13">
        <f t="shared" si="2"/>
        <v>9.6592059471828362E-2</v>
      </c>
    </row>
    <row r="14" spans="4:10">
      <c r="D14">
        <v>1</v>
      </c>
      <c r="E14">
        <v>3</v>
      </c>
      <c r="F14">
        <v>8407</v>
      </c>
      <c r="G14">
        <v>6653.4</v>
      </c>
      <c r="H14">
        <f t="shared" si="0"/>
        <v>462.18669552409318</v>
      </c>
      <c r="I14">
        <f t="shared" si="1"/>
        <v>3933.4115047868795</v>
      </c>
      <c r="J14">
        <f t="shared" si="2"/>
        <v>0.16747462476744943</v>
      </c>
    </row>
    <row r="15" spans="4:10">
      <c r="D15">
        <v>2</v>
      </c>
      <c r="E15">
        <v>3</v>
      </c>
      <c r="F15">
        <v>43783</v>
      </c>
      <c r="G15">
        <v>51752</v>
      </c>
      <c r="H15">
        <f t="shared" si="0"/>
        <v>1227.101580615242</v>
      </c>
      <c r="I15">
        <f t="shared" si="1"/>
        <v>-14642.564501159723</v>
      </c>
      <c r="J15">
        <f t="shared" si="2"/>
        <v>0.76106596987443254</v>
      </c>
    </row>
    <row r="16" spans="4:10">
      <c r="D16">
        <v>3</v>
      </c>
      <c r="E16">
        <v>3</v>
      </c>
      <c r="F16">
        <v>61633</v>
      </c>
      <c r="G16">
        <v>51951</v>
      </c>
      <c r="H16">
        <f t="shared" si="0"/>
        <v>1804.414236492079</v>
      </c>
      <c r="I16">
        <f t="shared" si="1"/>
        <v>21065.724855719276</v>
      </c>
      <c r="J16">
        <f t="shared" si="2"/>
        <v>0.92466315978469715</v>
      </c>
    </row>
    <row r="17" spans="4:10">
      <c r="D17">
        <v>4</v>
      </c>
      <c r="E17">
        <v>3</v>
      </c>
      <c r="F17">
        <v>28635</v>
      </c>
      <c r="G17">
        <v>32101.3</v>
      </c>
      <c r="H17">
        <f t="shared" si="0"/>
        <v>374.29124957556223</v>
      </c>
      <c r="I17">
        <f t="shared" si="1"/>
        <v>-6544.058600127576</v>
      </c>
      <c r="J17">
        <f t="shared" si="2"/>
        <v>0.33104316368123277</v>
      </c>
    </row>
    <row r="18" spans="4:10">
      <c r="D18">
        <v>1</v>
      </c>
      <c r="E18">
        <v>4</v>
      </c>
      <c r="F18">
        <v>988</v>
      </c>
      <c r="G18">
        <v>314.7</v>
      </c>
      <c r="H18">
        <f t="shared" si="0"/>
        <v>1440.5239593263425</v>
      </c>
      <c r="I18">
        <f t="shared" si="1"/>
        <v>2260.6682779067528</v>
      </c>
      <c r="J18">
        <f t="shared" si="2"/>
        <v>6.4302386437000286E-2</v>
      </c>
    </row>
    <row r="19" spans="4:10">
      <c r="D19">
        <v>2</v>
      </c>
      <c r="E19">
        <v>4</v>
      </c>
      <c r="F19">
        <v>8446</v>
      </c>
      <c r="G19">
        <v>7549.7</v>
      </c>
      <c r="H19">
        <f t="shared" si="0"/>
        <v>106.40869041153957</v>
      </c>
      <c r="I19">
        <f t="shared" si="1"/>
        <v>1895.031201426398</v>
      </c>
      <c r="J19">
        <f t="shared" si="2"/>
        <v>8.5599627155032429E-2</v>
      </c>
    </row>
    <row r="20" spans="4:10">
      <c r="D20">
        <v>3</v>
      </c>
      <c r="E20">
        <v>4</v>
      </c>
      <c r="F20">
        <v>18195</v>
      </c>
      <c r="G20">
        <v>21600.799999999999</v>
      </c>
      <c r="H20">
        <f t="shared" si="0"/>
        <v>536.99277989704069</v>
      </c>
      <c r="I20">
        <f t="shared" si="1"/>
        <v>-6243.9242919695444</v>
      </c>
      <c r="J20">
        <f t="shared" si="2"/>
        <v>0.3252652127240987</v>
      </c>
    </row>
    <row r="21" spans="4:10">
      <c r="D21">
        <v>4</v>
      </c>
      <c r="E21">
        <v>4</v>
      </c>
      <c r="F21">
        <v>51224</v>
      </c>
      <c r="G21">
        <v>49387.8</v>
      </c>
      <c r="H21">
        <f t="shared" si="0"/>
        <v>68.268488169142771</v>
      </c>
      <c r="I21">
        <f t="shared" si="1"/>
        <v>3739.8378172162443</v>
      </c>
      <c r="J21">
        <f t="shared" si="2"/>
        <v>0.17536319913206561</v>
      </c>
    </row>
    <row r="22" spans="4:10">
      <c r="F22">
        <f>SUM(F6:F21)</f>
        <v>523542</v>
      </c>
      <c r="G22">
        <f>SUM(G6:G21)</f>
        <v>523541</v>
      </c>
      <c r="H22">
        <f>SUM(H6:H21)</f>
        <v>11374.748044890233</v>
      </c>
      <c r="I22">
        <f>SUM(I6:I21)</f>
        <v>10530.741590853149</v>
      </c>
      <c r="J22">
        <f>SUM(J6:J21)</f>
        <v>6.2182021690714384</v>
      </c>
    </row>
  </sheetData>
  <phoneticPr fontId="4" type="noConversion"/>
  <pageMargins left="0.75" right="0.75" top="1" bottom="1" header="0.5" footer="0.5"/>
  <headerFooter alignWithMargins="0"/>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G25"/>
  <sheetViews>
    <sheetView topLeftCell="C1" workbookViewId="0">
      <selection activeCell="Q66" sqref="Q66"/>
    </sheetView>
  </sheetViews>
  <sheetFormatPr defaultRowHeight="11.4"/>
  <sheetData>
    <row r="7" spans="2:7">
      <c r="C7" t="s">
        <v>72</v>
      </c>
      <c r="D7" t="s">
        <v>73</v>
      </c>
      <c r="E7" t="s">
        <v>74</v>
      </c>
      <c r="F7" t="s">
        <v>75</v>
      </c>
      <c r="G7" t="s">
        <v>76</v>
      </c>
    </row>
    <row r="8" spans="2:7">
      <c r="B8" t="s">
        <v>72</v>
      </c>
      <c r="C8">
        <v>1</v>
      </c>
      <c r="D8" t="s">
        <v>77</v>
      </c>
      <c r="E8" s="2"/>
      <c r="F8" s="2"/>
      <c r="G8" s="2"/>
    </row>
    <row r="9" spans="2:7">
      <c r="B9" t="s">
        <v>73</v>
      </c>
      <c r="C9" t="s">
        <v>77</v>
      </c>
      <c r="D9">
        <v>2</v>
      </c>
      <c r="E9" s="2"/>
      <c r="F9" s="2"/>
      <c r="G9" s="2"/>
    </row>
    <row r="10" spans="2:7">
      <c r="B10" t="s">
        <v>74</v>
      </c>
      <c r="C10" s="2"/>
      <c r="D10" s="2"/>
      <c r="E10">
        <v>3</v>
      </c>
      <c r="F10" t="s">
        <v>78</v>
      </c>
      <c r="G10" s="2"/>
    </row>
    <row r="11" spans="2:7">
      <c r="B11" t="s">
        <v>75</v>
      </c>
      <c r="C11" s="2"/>
      <c r="D11" s="2"/>
      <c r="E11" t="s">
        <v>78</v>
      </c>
      <c r="F11">
        <v>4</v>
      </c>
      <c r="G11" s="2"/>
    </row>
    <row r="12" spans="2:7">
      <c r="B12" t="s">
        <v>76</v>
      </c>
      <c r="C12" s="2"/>
      <c r="D12" s="2"/>
      <c r="E12" s="2"/>
      <c r="F12" s="2"/>
      <c r="G12">
        <v>5</v>
      </c>
    </row>
    <row r="20" spans="2:7">
      <c r="C20" t="s">
        <v>72</v>
      </c>
      <c r="D20" t="s">
        <v>73</v>
      </c>
      <c r="E20" t="s">
        <v>74</v>
      </c>
      <c r="F20" t="s">
        <v>75</v>
      </c>
      <c r="G20" t="s">
        <v>76</v>
      </c>
    </row>
    <row r="21" spans="2:7">
      <c r="B21" t="s">
        <v>72</v>
      </c>
      <c r="C21" s="2"/>
      <c r="D21" t="s">
        <v>77</v>
      </c>
      <c r="E21" s="2"/>
      <c r="F21" s="2"/>
      <c r="G21" s="2"/>
    </row>
    <row r="22" spans="2:7">
      <c r="B22" t="s">
        <v>73</v>
      </c>
      <c r="C22" t="s">
        <v>77</v>
      </c>
      <c r="D22" s="2"/>
      <c r="E22" s="2"/>
      <c r="F22" s="2"/>
      <c r="G22" s="2"/>
    </row>
    <row r="23" spans="2:7">
      <c r="B23" t="s">
        <v>74</v>
      </c>
      <c r="C23" s="2"/>
      <c r="D23" s="2"/>
      <c r="E23" s="2"/>
      <c r="F23" s="2"/>
      <c r="G23" s="2"/>
    </row>
    <row r="24" spans="2:7">
      <c r="B24" t="s">
        <v>75</v>
      </c>
      <c r="C24" s="2"/>
      <c r="D24" s="2"/>
      <c r="E24" s="2"/>
      <c r="F24" s="2"/>
      <c r="G24" s="2"/>
    </row>
    <row r="25" spans="2:7">
      <c r="B25" t="s">
        <v>76</v>
      </c>
      <c r="C25" s="2"/>
      <c r="D25" s="2"/>
      <c r="E25" s="2"/>
      <c r="F25" s="2"/>
      <c r="G25" s="2"/>
    </row>
  </sheetData>
  <phoneticPr fontId="4" type="noConversion"/>
  <pageMargins left="0.75" right="0.75" top="1" bottom="1" header="0.5" footer="0.5"/>
  <pageSetup orientation="portrait" horizontalDpi="0" verticalDpi="0"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O26"/>
  <sheetViews>
    <sheetView topLeftCell="A93" workbookViewId="0">
      <selection activeCell="Q4" sqref="Q4"/>
    </sheetView>
  </sheetViews>
  <sheetFormatPr defaultRowHeight="11.4"/>
  <cols>
    <col min="2" max="2" width="31.75" customWidth="1"/>
    <col min="6" max="6" width="9.375" bestFit="1" customWidth="1"/>
  </cols>
  <sheetData>
    <row r="6" spans="1:8">
      <c r="F6" t="s">
        <v>61</v>
      </c>
      <c r="H6">
        <v>523542</v>
      </c>
    </row>
    <row r="7" spans="1:8">
      <c r="E7" t="s">
        <v>47</v>
      </c>
      <c r="F7" t="s">
        <v>55</v>
      </c>
      <c r="G7" t="s">
        <v>79</v>
      </c>
      <c r="H7" t="s">
        <v>60</v>
      </c>
    </row>
    <row r="8" spans="1:8">
      <c r="A8" t="s">
        <v>43</v>
      </c>
      <c r="B8" t="s">
        <v>44</v>
      </c>
      <c r="C8" t="s">
        <v>45</v>
      </c>
      <c r="D8" t="s">
        <v>46</v>
      </c>
      <c r="E8" t="s">
        <v>48</v>
      </c>
      <c r="F8" t="s">
        <v>56</v>
      </c>
      <c r="G8" t="s">
        <v>80</v>
      </c>
    </row>
    <row r="9" spans="1:8">
      <c r="A9" s="9">
        <v>1</v>
      </c>
      <c r="B9" t="s">
        <v>49</v>
      </c>
      <c r="C9">
        <v>1</v>
      </c>
      <c r="D9">
        <f t="shared" ref="D9:D18" si="0">16-C9</f>
        <v>15</v>
      </c>
      <c r="E9" s="7">
        <v>442816.4</v>
      </c>
      <c r="F9" s="7"/>
      <c r="G9">
        <v>0</v>
      </c>
      <c r="H9" s="7">
        <f>E9-(D9*LN($H$6))</f>
        <v>442618.87441197049</v>
      </c>
    </row>
    <row r="10" spans="1:8">
      <c r="A10" s="9">
        <v>2</v>
      </c>
      <c r="B10" t="s">
        <v>50</v>
      </c>
      <c r="C10">
        <v>7</v>
      </c>
      <c r="D10">
        <f t="shared" si="0"/>
        <v>9</v>
      </c>
      <c r="E10" s="7">
        <v>227578.9</v>
      </c>
      <c r="F10" s="7">
        <f>E$9-E10</f>
        <v>215237.50000000003</v>
      </c>
      <c r="G10">
        <v>0</v>
      </c>
      <c r="H10" s="7">
        <f t="shared" ref="H10:H18" si="1">E10-(D10*LN($H$6))</f>
        <v>227460.38464718228</v>
      </c>
    </row>
    <row r="11" spans="1:8">
      <c r="A11" s="9" t="s">
        <v>118</v>
      </c>
      <c r="B11" t="s">
        <v>119</v>
      </c>
      <c r="C11">
        <v>8</v>
      </c>
      <c r="D11">
        <v>8</v>
      </c>
      <c r="E11" s="7">
        <v>119378</v>
      </c>
      <c r="F11" s="7">
        <f t="shared" ref="F11:F18" si="2">E$9-E11</f>
        <v>323438.40000000002</v>
      </c>
      <c r="G11">
        <v>0</v>
      </c>
      <c r="H11" s="7">
        <f t="shared" si="1"/>
        <v>119272.65301971759</v>
      </c>
    </row>
    <row r="12" spans="1:8">
      <c r="A12" s="9">
        <v>3</v>
      </c>
      <c r="B12" t="s">
        <v>53</v>
      </c>
      <c r="C12">
        <v>8</v>
      </c>
      <c r="D12">
        <f t="shared" si="0"/>
        <v>8</v>
      </c>
      <c r="E12" s="7">
        <v>83703.13</v>
      </c>
      <c r="F12" s="7">
        <f t="shared" si="2"/>
        <v>359113.27</v>
      </c>
      <c r="G12">
        <v>0</v>
      </c>
      <c r="H12" s="7">
        <f t="shared" si="1"/>
        <v>83597.783019717594</v>
      </c>
    </row>
    <row r="13" spans="1:8">
      <c r="A13" s="9">
        <v>4</v>
      </c>
      <c r="B13" t="s">
        <v>54</v>
      </c>
      <c r="C13">
        <v>11</v>
      </c>
      <c r="D13">
        <f t="shared" si="0"/>
        <v>5</v>
      </c>
      <c r="E13" s="7">
        <v>47932.55</v>
      </c>
      <c r="F13" s="7">
        <f t="shared" si="2"/>
        <v>394883.85000000003</v>
      </c>
      <c r="G13">
        <v>0</v>
      </c>
      <c r="H13" s="7">
        <f t="shared" si="1"/>
        <v>47866.708137323498</v>
      </c>
    </row>
    <row r="14" spans="1:8">
      <c r="A14" s="9">
        <v>5</v>
      </c>
      <c r="B14" t="s">
        <v>81</v>
      </c>
      <c r="C14">
        <v>12</v>
      </c>
      <c r="D14">
        <f t="shared" si="0"/>
        <v>4</v>
      </c>
      <c r="E14" s="7">
        <v>35694</v>
      </c>
      <c r="F14" s="7">
        <f t="shared" si="2"/>
        <v>407122.4</v>
      </c>
      <c r="G14">
        <v>0</v>
      </c>
      <c r="H14" s="7">
        <f t="shared" si="1"/>
        <v>35641.326509858794</v>
      </c>
    </row>
    <row r="15" spans="1:8">
      <c r="A15" s="9">
        <v>6</v>
      </c>
      <c r="B15" t="s">
        <v>82</v>
      </c>
      <c r="C15">
        <v>13</v>
      </c>
      <c r="D15">
        <f t="shared" si="0"/>
        <v>3</v>
      </c>
      <c r="E15" s="7">
        <v>105.26</v>
      </c>
      <c r="F15" s="7">
        <f t="shared" si="2"/>
        <v>442711.14</v>
      </c>
      <c r="G15">
        <v>0</v>
      </c>
      <c r="H15" s="7">
        <f t="shared" si="1"/>
        <v>65.754882394097308</v>
      </c>
    </row>
    <row r="16" spans="1:8">
      <c r="A16" s="9">
        <v>7</v>
      </c>
      <c r="B16" t="s">
        <v>83</v>
      </c>
      <c r="C16">
        <v>14</v>
      </c>
      <c r="D16">
        <f t="shared" si="0"/>
        <v>2</v>
      </c>
      <c r="E16" s="7">
        <v>34.42</v>
      </c>
      <c r="F16" s="7">
        <f t="shared" si="2"/>
        <v>442781.98000000004</v>
      </c>
      <c r="G16">
        <v>0</v>
      </c>
      <c r="H16" s="7">
        <f t="shared" si="1"/>
        <v>8.0832549293982083</v>
      </c>
    </row>
    <row r="17" spans="1:15">
      <c r="A17" s="9">
        <v>8</v>
      </c>
      <c r="B17" t="s">
        <v>84</v>
      </c>
      <c r="C17">
        <v>15</v>
      </c>
      <c r="D17">
        <f t="shared" si="0"/>
        <v>1</v>
      </c>
      <c r="E17" s="7">
        <v>4.1740000000000004</v>
      </c>
      <c r="F17" s="7">
        <f t="shared" si="2"/>
        <v>442812.22600000002</v>
      </c>
      <c r="G17">
        <v>0.04</v>
      </c>
      <c r="H17" s="7">
        <f t="shared" si="1"/>
        <v>-8.9943725353008972</v>
      </c>
    </row>
    <row r="18" spans="1:15">
      <c r="A18" s="9">
        <v>9</v>
      </c>
      <c r="B18" t="s">
        <v>121</v>
      </c>
      <c r="C18">
        <v>14</v>
      </c>
      <c r="D18">
        <f t="shared" si="0"/>
        <v>2</v>
      </c>
      <c r="E18" s="7">
        <v>4.47</v>
      </c>
      <c r="F18" s="7">
        <f t="shared" si="2"/>
        <v>442811.93000000005</v>
      </c>
      <c r="G18">
        <v>0.106</v>
      </c>
      <c r="H18" s="7">
        <f t="shared" si="1"/>
        <v>-21.866745070601795</v>
      </c>
    </row>
    <row r="19" spans="1:15">
      <c r="B19" t="s">
        <v>122</v>
      </c>
    </row>
    <row r="20" spans="1:15">
      <c r="L20" t="s">
        <v>120</v>
      </c>
    </row>
    <row r="21" spans="1:15">
      <c r="L21" t="s">
        <v>89</v>
      </c>
    </row>
    <row r="22" spans="1:15">
      <c r="L22">
        <v>1</v>
      </c>
      <c r="M22">
        <v>2</v>
      </c>
      <c r="N22">
        <v>3</v>
      </c>
      <c r="O22">
        <v>4</v>
      </c>
    </row>
    <row r="23" spans="1:15">
      <c r="K23">
        <v>1</v>
      </c>
      <c r="L23">
        <f>0.789</f>
        <v>0.78900000000000003</v>
      </c>
      <c r="M23" s="2">
        <v>0</v>
      </c>
      <c r="N23">
        <f>-1.04</f>
        <v>-1.04</v>
      </c>
      <c r="O23" s="4">
        <f>-2.579</f>
        <v>-2.5790000000000002</v>
      </c>
    </row>
    <row r="24" spans="1:15">
      <c r="J24" t="s">
        <v>90</v>
      </c>
      <c r="K24">
        <v>2</v>
      </c>
      <c r="L24">
        <v>4.7E-2</v>
      </c>
      <c r="M24">
        <f>0.798</f>
        <v>0.79800000000000004</v>
      </c>
      <c r="N24" s="2">
        <v>0</v>
      </c>
      <c r="O24">
        <f>-1.04</f>
        <v>-1.04</v>
      </c>
    </row>
    <row r="25" spans="1:15">
      <c r="J25" t="s">
        <v>91</v>
      </c>
      <c r="K25">
        <v>3</v>
      </c>
      <c r="L25" s="5">
        <v>-1.04</v>
      </c>
      <c r="M25">
        <v>4.7E-2</v>
      </c>
      <c r="N25">
        <f>0.631</f>
        <v>0.63100000000000001</v>
      </c>
      <c r="O25" s="2">
        <v>0</v>
      </c>
    </row>
    <row r="26" spans="1:15">
      <c r="K26">
        <v>4</v>
      </c>
      <c r="L26" s="4">
        <f>-2.579-0.264</f>
        <v>-2.843</v>
      </c>
      <c r="M26">
        <f>-1.04</f>
        <v>-1.04</v>
      </c>
      <c r="N26">
        <v>4.7E-2</v>
      </c>
      <c r="O26">
        <v>1.22</v>
      </c>
    </row>
  </sheetData>
  <phoneticPr fontId="4" type="noConversion"/>
  <pageMargins left="0.75" right="0.75" top="1" bottom="1" header="0.5" footer="0.5"/>
  <pageSetup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F31"/>
  <sheetViews>
    <sheetView workbookViewId="0">
      <selection activeCell="E24" sqref="E24"/>
    </sheetView>
  </sheetViews>
  <sheetFormatPr defaultRowHeight="11.4"/>
  <cols>
    <col min="2" max="2" width="78.125" customWidth="1"/>
    <col min="3" max="3" width="14.125" customWidth="1"/>
  </cols>
  <sheetData>
    <row r="9" spans="1:6">
      <c r="B9" s="9" t="s">
        <v>205</v>
      </c>
      <c r="C9">
        <v>523542</v>
      </c>
    </row>
    <row r="12" spans="1:6">
      <c r="B12" s="15" t="s">
        <v>202</v>
      </c>
      <c r="C12" t="s">
        <v>45</v>
      </c>
      <c r="D12" t="s">
        <v>46</v>
      </c>
      <c r="E12" t="s">
        <v>203</v>
      </c>
      <c r="F12" t="s">
        <v>60</v>
      </c>
    </row>
    <row r="13" spans="1:6" s="34" customFormat="1">
      <c r="A13" s="34" t="s">
        <v>232</v>
      </c>
      <c r="B13" s="34" t="s">
        <v>204</v>
      </c>
      <c r="C13" s="34">
        <v>14</v>
      </c>
      <c r="D13">
        <f t="shared" ref="D13:D23" si="0">512-C13</f>
        <v>498</v>
      </c>
      <c r="E13" s="35">
        <v>576133</v>
      </c>
      <c r="F13" s="35">
        <f>E13-(D13*(LN($C$9)))</f>
        <v>569575.15047742019</v>
      </c>
    </row>
    <row r="14" spans="1:6">
      <c r="A14" t="s">
        <v>235</v>
      </c>
      <c r="B14" t="s">
        <v>238</v>
      </c>
      <c r="C14">
        <v>36</v>
      </c>
      <c r="D14">
        <f t="shared" si="0"/>
        <v>476</v>
      </c>
      <c r="E14" s="8">
        <v>244096</v>
      </c>
      <c r="F14" s="35">
        <f>E14-(D14*(LN($C$9)))</f>
        <v>237827.85467319677</v>
      </c>
    </row>
    <row r="15" spans="1:6">
      <c r="A15" t="s">
        <v>245</v>
      </c>
      <c r="B15" t="s">
        <v>239</v>
      </c>
      <c r="C15">
        <v>117</v>
      </c>
      <c r="D15">
        <f t="shared" si="0"/>
        <v>395</v>
      </c>
      <c r="E15" s="8">
        <v>19147</v>
      </c>
      <c r="F15" s="35">
        <f>E15-(D15*(LN($C$9)))</f>
        <v>13945.492848556147</v>
      </c>
    </row>
    <row r="16" spans="1:6">
      <c r="A16" t="s">
        <v>246</v>
      </c>
      <c r="B16" t="s">
        <v>240</v>
      </c>
      <c r="C16">
        <v>129</v>
      </c>
      <c r="D16">
        <f t="shared" si="0"/>
        <v>383</v>
      </c>
      <c r="E16" s="8">
        <v>2868.3</v>
      </c>
      <c r="F16" s="35">
        <f>E16-(D16*(LN($C$9)))</f>
        <v>-2175.1866810202437</v>
      </c>
    </row>
    <row r="17" spans="1:6">
      <c r="A17" t="s">
        <v>247</v>
      </c>
      <c r="B17" t="s">
        <v>241</v>
      </c>
      <c r="C17">
        <v>88</v>
      </c>
      <c r="D17">
        <f t="shared" si="0"/>
        <v>424</v>
      </c>
      <c r="E17" s="8">
        <v>2115.6</v>
      </c>
      <c r="F17" s="35">
        <f>E17-(D17*(LN($C$9)))</f>
        <v>-3467.7899549675799</v>
      </c>
    </row>
    <row r="18" spans="1:6">
      <c r="B18" t="s">
        <v>236</v>
      </c>
      <c r="E18" s="8"/>
      <c r="F18" s="35"/>
    </row>
    <row r="19" spans="1:6">
      <c r="A19" t="s">
        <v>248</v>
      </c>
      <c r="B19" t="s">
        <v>237</v>
      </c>
      <c r="C19">
        <v>93</v>
      </c>
      <c r="D19">
        <f t="shared" si="0"/>
        <v>419</v>
      </c>
      <c r="E19" s="8">
        <v>1995.8</v>
      </c>
      <c r="F19" s="35">
        <f>E19-(D19*(LN($C$9)))</f>
        <v>-3521.7480922910754</v>
      </c>
    </row>
    <row r="20" spans="1:6">
      <c r="A20" t="s">
        <v>249</v>
      </c>
      <c r="B20" t="s">
        <v>242</v>
      </c>
      <c r="C20">
        <v>105</v>
      </c>
      <c r="D20">
        <f t="shared" si="0"/>
        <v>407</v>
      </c>
      <c r="E20" s="8">
        <v>1258.7</v>
      </c>
      <c r="F20" s="35">
        <f>E20-(D20*(LN($C$9)))</f>
        <v>-4100.8276218674655</v>
      </c>
    </row>
    <row r="21" spans="1:6">
      <c r="A21" t="s">
        <v>250</v>
      </c>
      <c r="B21" t="s">
        <v>243</v>
      </c>
      <c r="C21">
        <v>117</v>
      </c>
      <c r="D21">
        <f t="shared" si="0"/>
        <v>395</v>
      </c>
      <c r="E21" s="8">
        <v>873.5</v>
      </c>
      <c r="F21" s="35">
        <f>E21-(D21*(LN($C$9)))</f>
        <v>-4328.0071514438541</v>
      </c>
    </row>
    <row r="22" spans="1:6">
      <c r="A22" t="s">
        <v>251</v>
      </c>
      <c r="B22" t="s">
        <v>244</v>
      </c>
      <c r="C22">
        <v>153</v>
      </c>
      <c r="D22">
        <f t="shared" si="0"/>
        <v>359</v>
      </c>
      <c r="E22" s="8">
        <v>532.9</v>
      </c>
      <c r="F22" s="35">
        <f>E22-(D22*(LN($C$9)))</f>
        <v>-4194.5457401730218</v>
      </c>
    </row>
    <row r="23" spans="1:6">
      <c r="A23" t="s">
        <v>252</v>
      </c>
      <c r="B23" t="s">
        <v>253</v>
      </c>
      <c r="C23">
        <v>256</v>
      </c>
      <c r="D23">
        <f t="shared" si="0"/>
        <v>256</v>
      </c>
      <c r="E23" s="8">
        <v>384.19</v>
      </c>
      <c r="F23" s="35">
        <f>E23-(D23*(LN($C$9)))</f>
        <v>-2986.9133690370295</v>
      </c>
    </row>
    <row r="25" spans="1:6">
      <c r="C25" t="s">
        <v>211</v>
      </c>
    </row>
    <row r="27" spans="1:6">
      <c r="C27" t="s">
        <v>206</v>
      </c>
      <c r="D27">
        <v>5</v>
      </c>
    </row>
    <row r="28" spans="1:6">
      <c r="C28" t="s">
        <v>207</v>
      </c>
      <c r="D28">
        <v>10</v>
      </c>
    </row>
    <row r="29" spans="1:6">
      <c r="C29" t="s">
        <v>208</v>
      </c>
      <c r="D29">
        <v>10</v>
      </c>
    </row>
    <row r="30" spans="1:6">
      <c r="C30" t="s">
        <v>209</v>
      </c>
      <c r="D30">
        <v>5</v>
      </c>
    </row>
    <row r="31" spans="1:6">
      <c r="C31" t="s">
        <v>210</v>
      </c>
      <c r="D31">
        <v>1</v>
      </c>
    </row>
  </sheetData>
  <phoneticPr fontId="4" type="noConversion"/>
  <pageMargins left="0.75" right="0.75" top="1" bottom="1" header="0.5" footer="0.5"/>
  <pageSetup orientation="portrait" horizontalDpi="0" verticalDpi="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K51"/>
  <sheetViews>
    <sheetView topLeftCell="A73" zoomScale="125" workbookViewId="0">
      <selection activeCell="H44" sqref="H44"/>
    </sheetView>
  </sheetViews>
  <sheetFormatPr defaultColWidth="8.875" defaultRowHeight="11.4"/>
  <cols>
    <col min="1" max="3" width="8.875" customWidth="1"/>
    <col min="4" max="4" width="28" customWidth="1"/>
    <col min="5" max="9" width="8.875" customWidth="1"/>
    <col min="10" max="10" width="11.625" customWidth="1"/>
  </cols>
  <sheetData>
    <row r="2" spans="1:10">
      <c r="A2" t="s">
        <v>117</v>
      </c>
    </row>
    <row r="5" spans="1:10">
      <c r="H5" t="s">
        <v>61</v>
      </c>
      <c r="J5">
        <v>523542</v>
      </c>
    </row>
    <row r="6" spans="1:10">
      <c r="G6" t="s">
        <v>47</v>
      </c>
      <c r="H6" t="s">
        <v>55</v>
      </c>
      <c r="I6" t="s">
        <v>79</v>
      </c>
      <c r="J6" t="s">
        <v>60</v>
      </c>
    </row>
    <row r="7" spans="1:10">
      <c r="C7" t="s">
        <v>43</v>
      </c>
      <c r="D7" t="s">
        <v>44</v>
      </c>
      <c r="E7" t="s">
        <v>45</v>
      </c>
      <c r="F7" t="s">
        <v>46</v>
      </c>
      <c r="G7" t="s">
        <v>48</v>
      </c>
      <c r="H7" t="s">
        <v>56</v>
      </c>
      <c r="I7" t="s">
        <v>80</v>
      </c>
    </row>
    <row r="8" spans="1:10">
      <c r="C8">
        <v>1</v>
      </c>
      <c r="D8" t="s">
        <v>49</v>
      </c>
      <c r="E8">
        <v>1</v>
      </c>
      <c r="F8">
        <f t="shared" ref="F8:F15" si="0">16-E8</f>
        <v>15</v>
      </c>
      <c r="G8">
        <v>442816.4</v>
      </c>
      <c r="I8">
        <v>0</v>
      </c>
      <c r="J8" s="3">
        <f t="shared" ref="J8:J15" si="1">G8-(F8*LN($J$5))</f>
        <v>442618.87441197049</v>
      </c>
    </row>
    <row r="9" spans="1:10">
      <c r="C9">
        <v>2</v>
      </c>
      <c r="D9" t="s">
        <v>50</v>
      </c>
      <c r="E9">
        <v>7</v>
      </c>
      <c r="F9">
        <f t="shared" si="0"/>
        <v>9</v>
      </c>
      <c r="G9">
        <v>227578.9</v>
      </c>
      <c r="H9">
        <f t="shared" ref="H9:H15" si="2">G$27-G9</f>
        <v>-227575.9</v>
      </c>
      <c r="I9">
        <v>0</v>
      </c>
      <c r="J9" s="3">
        <f t="shared" si="1"/>
        <v>227460.38464718228</v>
      </c>
    </row>
    <row r="10" spans="1:10">
      <c r="C10">
        <v>3</v>
      </c>
      <c r="D10" t="s">
        <v>53</v>
      </c>
      <c r="E10">
        <v>8</v>
      </c>
      <c r="F10">
        <f t="shared" si="0"/>
        <v>8</v>
      </c>
      <c r="G10">
        <v>83703.13</v>
      </c>
      <c r="H10">
        <f t="shared" si="2"/>
        <v>-83700.13</v>
      </c>
      <c r="I10">
        <v>0</v>
      </c>
      <c r="J10" s="3">
        <f t="shared" si="1"/>
        <v>83597.783019717594</v>
      </c>
    </row>
    <row r="11" spans="1:10">
      <c r="C11">
        <v>4</v>
      </c>
      <c r="D11" t="s">
        <v>54</v>
      </c>
      <c r="E11">
        <v>11</v>
      </c>
      <c r="F11">
        <f t="shared" si="0"/>
        <v>5</v>
      </c>
      <c r="G11">
        <v>47932.55</v>
      </c>
      <c r="H11">
        <f t="shared" si="2"/>
        <v>-47929.55</v>
      </c>
      <c r="I11">
        <v>0</v>
      </c>
      <c r="J11" s="3">
        <f t="shared" si="1"/>
        <v>47866.708137323498</v>
      </c>
    </row>
    <row r="12" spans="1:10">
      <c r="C12">
        <v>5</v>
      </c>
      <c r="D12" t="s">
        <v>81</v>
      </c>
      <c r="E12">
        <v>12</v>
      </c>
      <c r="F12">
        <f t="shared" si="0"/>
        <v>4</v>
      </c>
      <c r="G12">
        <v>35694</v>
      </c>
      <c r="H12">
        <f t="shared" si="2"/>
        <v>-35691</v>
      </c>
      <c r="I12">
        <v>0</v>
      </c>
      <c r="J12" s="3">
        <f t="shared" si="1"/>
        <v>35641.326509858794</v>
      </c>
    </row>
    <row r="13" spans="1:10">
      <c r="C13">
        <v>6</v>
      </c>
      <c r="D13" t="s">
        <v>82</v>
      </c>
      <c r="E13">
        <v>13</v>
      </c>
      <c r="F13">
        <f t="shared" si="0"/>
        <v>3</v>
      </c>
      <c r="G13">
        <v>105.26</v>
      </c>
      <c r="H13">
        <f t="shared" si="2"/>
        <v>-102.26</v>
      </c>
      <c r="I13">
        <v>0</v>
      </c>
      <c r="J13" s="3">
        <f t="shared" si="1"/>
        <v>65.754882394097308</v>
      </c>
    </row>
    <row r="14" spans="1:10">
      <c r="C14">
        <v>7</v>
      </c>
      <c r="D14" t="s">
        <v>83</v>
      </c>
      <c r="E14">
        <v>14</v>
      </c>
      <c r="F14">
        <f t="shared" si="0"/>
        <v>2</v>
      </c>
      <c r="G14">
        <v>34.42</v>
      </c>
      <c r="H14">
        <f t="shared" si="2"/>
        <v>-31.42</v>
      </c>
      <c r="I14">
        <v>0</v>
      </c>
      <c r="J14" s="3">
        <f t="shared" si="1"/>
        <v>8.0832549293982083</v>
      </c>
    </row>
    <row r="15" spans="1:10">
      <c r="C15">
        <v>8</v>
      </c>
      <c r="D15" t="s">
        <v>84</v>
      </c>
      <c r="E15">
        <v>15</v>
      </c>
      <c r="F15">
        <f t="shared" si="0"/>
        <v>1</v>
      </c>
      <c r="G15">
        <v>4.1740000000000004</v>
      </c>
      <c r="H15">
        <f t="shared" si="2"/>
        <v>-1.1740000000000004</v>
      </c>
      <c r="I15">
        <v>0.04</v>
      </c>
      <c r="J15" s="3">
        <f t="shared" si="1"/>
        <v>-8.9943725353008972</v>
      </c>
    </row>
    <row r="18" spans="3:11">
      <c r="C18" t="s">
        <v>85</v>
      </c>
    </row>
    <row r="19" spans="3:11">
      <c r="C19" t="s">
        <v>86</v>
      </c>
    </row>
    <row r="20" spans="3:11">
      <c r="C20" t="s">
        <v>87</v>
      </c>
    </row>
    <row r="22" spans="3:11">
      <c r="F22">
        <f>EXP(K28-H28)</f>
        <v>58.148495157676187</v>
      </c>
      <c r="H22" t="s">
        <v>88</v>
      </c>
    </row>
    <row r="23" spans="3:11">
      <c r="H23" t="s">
        <v>89</v>
      </c>
    </row>
    <row r="24" spans="3:11">
      <c r="H24">
        <v>1</v>
      </c>
      <c r="I24">
        <v>2</v>
      </c>
      <c r="J24">
        <v>3</v>
      </c>
      <c r="K24">
        <v>4</v>
      </c>
    </row>
    <row r="25" spans="3:11">
      <c r="G25">
        <v>1</v>
      </c>
      <c r="H25">
        <f>0.789</f>
        <v>0.78900000000000003</v>
      </c>
      <c r="I25" s="2">
        <v>0</v>
      </c>
      <c r="J25">
        <f>-1.04</f>
        <v>-1.04</v>
      </c>
      <c r="K25" s="4">
        <f>-2.579</f>
        <v>-2.5790000000000002</v>
      </c>
    </row>
    <row r="26" spans="3:11">
      <c r="F26" t="s">
        <v>90</v>
      </c>
      <c r="G26">
        <v>2</v>
      </c>
      <c r="H26">
        <v>4.7E-2</v>
      </c>
      <c r="I26">
        <f>0.798</f>
        <v>0.79800000000000004</v>
      </c>
      <c r="J26" s="2">
        <v>0</v>
      </c>
      <c r="K26">
        <f>-1.04</f>
        <v>-1.04</v>
      </c>
    </row>
    <row r="27" spans="3:11">
      <c r="F27" t="s">
        <v>91</v>
      </c>
      <c r="G27">
        <v>3</v>
      </c>
      <c r="H27" s="5">
        <v>-1.04</v>
      </c>
      <c r="I27">
        <v>4.7E-2</v>
      </c>
      <c r="J27">
        <f>0.631</f>
        <v>0.63100000000000001</v>
      </c>
      <c r="K27" s="2">
        <v>0</v>
      </c>
    </row>
    <row r="28" spans="3:11">
      <c r="G28">
        <v>4</v>
      </c>
      <c r="H28" s="4">
        <f>-2.579-0.264</f>
        <v>-2.843</v>
      </c>
      <c r="I28">
        <f>-1.04</f>
        <v>-1.04</v>
      </c>
      <c r="J28">
        <v>4.7E-2</v>
      </c>
      <c r="K28">
        <v>1.22</v>
      </c>
    </row>
    <row r="30" spans="3:11">
      <c r="F30">
        <f>AVERAGE(H25:K28)</f>
        <v>-0.37518750000000001</v>
      </c>
    </row>
    <row r="35" spans="1:11">
      <c r="H35" t="s">
        <v>92</v>
      </c>
    </row>
    <row r="36" spans="1:11">
      <c r="D36" t="s">
        <v>93</v>
      </c>
      <c r="H36" t="s">
        <v>89</v>
      </c>
    </row>
    <row r="37" spans="1:11">
      <c r="D37" t="s">
        <v>94</v>
      </c>
      <c r="H37">
        <v>1</v>
      </c>
      <c r="I37">
        <v>2</v>
      </c>
      <c r="J37">
        <v>3</v>
      </c>
      <c r="K37">
        <v>4</v>
      </c>
    </row>
    <row r="38" spans="1:11">
      <c r="B38" t="s">
        <v>95</v>
      </c>
      <c r="G38">
        <v>1</v>
      </c>
      <c r="H38" s="5">
        <f>H25-$F$30</f>
        <v>1.1641875000000002</v>
      </c>
      <c r="I38" s="5">
        <f t="shared" ref="H38:K41" si="3">I25-$F$30</f>
        <v>0.37518750000000001</v>
      </c>
      <c r="J38" s="5">
        <f t="shared" si="3"/>
        <v>-0.66481250000000003</v>
      </c>
      <c r="K38" s="5">
        <f t="shared" si="3"/>
        <v>-2.2038125000000002</v>
      </c>
    </row>
    <row r="39" spans="1:11">
      <c r="B39" t="s">
        <v>96</v>
      </c>
      <c r="C39" t="s">
        <v>97</v>
      </c>
      <c r="E39" t="s">
        <v>98</v>
      </c>
      <c r="F39" t="s">
        <v>90</v>
      </c>
      <c r="G39">
        <v>2</v>
      </c>
      <c r="H39" s="5">
        <f>H26-$F$30</f>
        <v>0.42218749999999999</v>
      </c>
      <c r="I39" s="5">
        <f t="shared" si="3"/>
        <v>1.1731875</v>
      </c>
      <c r="J39" s="5">
        <f t="shared" si="3"/>
        <v>0.37518750000000001</v>
      </c>
      <c r="K39" s="5">
        <f t="shared" si="3"/>
        <v>-0.66481250000000003</v>
      </c>
    </row>
    <row r="40" spans="1:11">
      <c r="A40" t="s">
        <v>99</v>
      </c>
      <c r="B40">
        <v>0</v>
      </c>
      <c r="C40">
        <v>4</v>
      </c>
      <c r="D40">
        <v>1</v>
      </c>
      <c r="E40" t="s">
        <v>100</v>
      </c>
      <c r="F40" t="s">
        <v>91</v>
      </c>
      <c r="G40">
        <v>3</v>
      </c>
      <c r="H40" s="5">
        <f>H27-$F$30</f>
        <v>-0.66481250000000003</v>
      </c>
      <c r="I40" s="5">
        <f t="shared" si="3"/>
        <v>0.42218749999999999</v>
      </c>
      <c r="J40" s="5">
        <f t="shared" si="3"/>
        <v>1.0061875</v>
      </c>
      <c r="K40" s="5">
        <f t="shared" si="3"/>
        <v>0.37518750000000001</v>
      </c>
    </row>
    <row r="41" spans="1:11">
      <c r="A41" t="s">
        <v>101</v>
      </c>
      <c r="B41" s="6">
        <f>LN(D41)</f>
        <v>-1.173</v>
      </c>
      <c r="C41" s="6">
        <v>3</v>
      </c>
      <c r="D41" s="6">
        <f>EXP(J28-K28)</f>
        <v>0.30943723569731985</v>
      </c>
      <c r="E41" s="6">
        <f>1/D41</f>
        <v>3.2316731299208068</v>
      </c>
      <c r="F41" s="6"/>
      <c r="G41">
        <v>4</v>
      </c>
      <c r="H41" s="5">
        <f t="shared" si="3"/>
        <v>-2.4678125</v>
      </c>
      <c r="I41" s="5">
        <f t="shared" si="3"/>
        <v>-0.66481250000000003</v>
      </c>
      <c r="J41" s="5">
        <f t="shared" si="3"/>
        <v>0.42218749999999999</v>
      </c>
      <c r="K41" s="5">
        <f t="shared" si="3"/>
        <v>1.5951875</v>
      </c>
    </row>
    <row r="42" spans="1:11">
      <c r="A42" t="s">
        <v>101</v>
      </c>
      <c r="B42" s="6">
        <f>LN(D42)</f>
        <v>-2.2599999999999998</v>
      </c>
      <c r="C42" s="6">
        <v>2</v>
      </c>
      <c r="D42" s="6">
        <f>EXP(I28-K28)</f>
        <v>0.10435048475476504</v>
      </c>
      <c r="E42" s="6">
        <f>1/D42</f>
        <v>9.5830891667643758</v>
      </c>
      <c r="F42" s="6"/>
    </row>
    <row r="43" spans="1:11">
      <c r="A43" t="s">
        <v>101</v>
      </c>
      <c r="B43" s="6">
        <f>LN(D43)</f>
        <v>-4.0629999999999997</v>
      </c>
      <c r="C43" s="6">
        <v>1</v>
      </c>
      <c r="D43" s="6">
        <f>EXP(H28-K28)</f>
        <v>1.7197349601023853E-2</v>
      </c>
      <c r="E43" s="6">
        <f>1/D43</f>
        <v>58.148495157676187</v>
      </c>
      <c r="F43" s="6"/>
    </row>
    <row r="45" spans="1:11">
      <c r="B45" t="s">
        <v>102</v>
      </c>
    </row>
    <row r="46" spans="1:11">
      <c r="B46" t="s">
        <v>103</v>
      </c>
    </row>
    <row r="47" spans="1:11">
      <c r="E47" t="s">
        <v>104</v>
      </c>
    </row>
    <row r="48" spans="1:11">
      <c r="C48">
        <v>4</v>
      </c>
      <c r="D48">
        <f>EXP(K27-J27)</f>
        <v>0.53205947541304766</v>
      </c>
      <c r="E48">
        <f>1/D48</f>
        <v>1.8794891289619104</v>
      </c>
    </row>
    <row r="49" spans="3:5">
      <c r="C49">
        <v>3</v>
      </c>
      <c r="D49">
        <v>1</v>
      </c>
    </row>
    <row r="50" spans="3:5">
      <c r="C50">
        <v>2</v>
      </c>
      <c r="D50">
        <f>EXP(I27-J27)</f>
        <v>0.55766324631979125</v>
      </c>
      <c r="E50">
        <f>1/D50</f>
        <v>1.7931968918506624</v>
      </c>
    </row>
    <row r="51" spans="3:5">
      <c r="C51">
        <v>1</v>
      </c>
      <c r="D51">
        <f>EXP(H27-J27)</f>
        <v>0.18805891266527416</v>
      </c>
      <c r="E51">
        <f>1/D51</f>
        <v>5.3174826219478302</v>
      </c>
    </row>
  </sheetData>
  <phoneticPr fontId="4" type="noConversion"/>
  <pageMargins left="0.75" right="0.75" top="1" bottom="1" header="0.5" footer="0.5"/>
  <pageSetup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N78"/>
  <sheetViews>
    <sheetView topLeftCell="A183" workbookViewId="0">
      <selection activeCell="A2" sqref="A2:IV21"/>
    </sheetView>
  </sheetViews>
  <sheetFormatPr defaultRowHeight="11.4"/>
  <sheetData>
    <row r="5" spans="1:14">
      <c r="A5">
        <v>1970</v>
      </c>
    </row>
    <row r="6" spans="1:14">
      <c r="B6" s="20" t="s">
        <v>178</v>
      </c>
      <c r="I6" s="20" t="s">
        <v>179</v>
      </c>
    </row>
    <row r="7" spans="1:14">
      <c r="D7" s="20" t="s">
        <v>177</v>
      </c>
      <c r="K7" s="20" t="s">
        <v>177</v>
      </c>
    </row>
    <row r="8" spans="1:14">
      <c r="C8" t="s">
        <v>171</v>
      </c>
      <c r="D8" t="s">
        <v>172</v>
      </c>
      <c r="E8" t="s">
        <v>173</v>
      </c>
      <c r="F8" t="s">
        <v>174</v>
      </c>
      <c r="G8" t="s">
        <v>175</v>
      </c>
      <c r="J8" t="s">
        <v>171</v>
      </c>
      <c r="K8" t="s">
        <v>172</v>
      </c>
      <c r="L8" t="s">
        <v>173</v>
      </c>
      <c r="M8" t="s">
        <v>174</v>
      </c>
      <c r="N8" t="s">
        <v>175</v>
      </c>
    </row>
    <row r="9" spans="1:14">
      <c r="B9" t="s">
        <v>171</v>
      </c>
      <c r="C9">
        <f>3.031+0.622+2.407</f>
        <v>6.0600000000000005</v>
      </c>
      <c r="D9">
        <f>-3.206+0.082+0.667</f>
        <v>-2.4569999999999999</v>
      </c>
      <c r="E9">
        <f>-1.556+0.866</f>
        <v>-0.69000000000000006</v>
      </c>
      <c r="G9">
        <f>0.165-0.666-0.281-0.132</f>
        <v>-0.91400000000000003</v>
      </c>
      <c r="I9" t="s">
        <v>171</v>
      </c>
      <c r="J9">
        <f>3.031</f>
        <v>3.0310000000000001</v>
      </c>
      <c r="K9">
        <f>-3.206+0.082</f>
        <v>-3.1240000000000001</v>
      </c>
      <c r="L9">
        <f>-1.556</f>
        <v>-1.556</v>
      </c>
      <c r="N9">
        <f>0.165-0.666-0.281</f>
        <v>-0.78200000000000003</v>
      </c>
    </row>
    <row r="10" spans="1:14">
      <c r="B10" t="s">
        <v>172</v>
      </c>
      <c r="C10">
        <f>-3.206+0.082+0.667</f>
        <v>-2.4569999999999999</v>
      </c>
      <c r="D10">
        <f>2.433+0.149-0.064</f>
        <v>2.5179999999999998</v>
      </c>
      <c r="E10">
        <f>-0.209-0.669-0.223</f>
        <v>-1.101</v>
      </c>
      <c r="I10" t="s">
        <v>172</v>
      </c>
      <c r="J10">
        <f>-3.206+0.082</f>
        <v>-3.1240000000000001</v>
      </c>
      <c r="K10">
        <f>2.433-0.064</f>
        <v>2.3689999999999998</v>
      </c>
      <c r="L10">
        <f>-0.209-0.669</f>
        <v>-0.878</v>
      </c>
    </row>
    <row r="11" spans="1:14">
      <c r="A11" s="20" t="s">
        <v>176</v>
      </c>
      <c r="B11" t="s">
        <v>173</v>
      </c>
      <c r="D11">
        <f>-0.209-0.669-0.223</f>
        <v>-1.101</v>
      </c>
      <c r="E11">
        <f>-3.083+3.504+2.137</f>
        <v>2.5579999999999998</v>
      </c>
      <c r="F11">
        <f>-1.823+1.031+0.439</f>
        <v>-0.35300000000000004</v>
      </c>
      <c r="H11" s="20" t="s">
        <v>176</v>
      </c>
      <c r="I11" t="s">
        <v>173</v>
      </c>
      <c r="K11">
        <f>-0.209-0.669</f>
        <v>-0.878</v>
      </c>
      <c r="L11">
        <f>-3.083+2.137</f>
        <v>-0.94600000000000017</v>
      </c>
      <c r="M11">
        <f>-1.823+1.031</f>
        <v>-0.79200000000000004</v>
      </c>
    </row>
    <row r="12" spans="1:14">
      <c r="B12" t="s">
        <v>174</v>
      </c>
      <c r="E12">
        <f>-1.823+1.031+0.349</f>
        <v>-0.44300000000000006</v>
      </c>
      <c r="F12">
        <f>3.722+4.088-2.374</f>
        <v>5.4359999999999999</v>
      </c>
      <c r="G12">
        <f>1.447+0.431-0.357</f>
        <v>1.5210000000000001</v>
      </c>
      <c r="I12" t="s">
        <v>174</v>
      </c>
      <c r="L12">
        <f>-1.823+1.031</f>
        <v>-0.79200000000000004</v>
      </c>
      <c r="M12">
        <f>4.088</f>
        <v>4.0880000000000001</v>
      </c>
      <c r="N12">
        <f>1.447+0.431</f>
        <v>1.8780000000000001</v>
      </c>
    </row>
    <row r="13" spans="1:14">
      <c r="B13" t="s">
        <v>175</v>
      </c>
      <c r="C13">
        <f>0.165-0.281-0.132</f>
        <v>-0.24800000000000003</v>
      </c>
      <c r="F13">
        <f>1.447+0.431-0.357</f>
        <v>1.5210000000000001</v>
      </c>
      <c r="G13">
        <f>3.492-0.402+1.235</f>
        <v>4.3250000000000002</v>
      </c>
      <c r="I13" t="s">
        <v>175</v>
      </c>
      <c r="J13">
        <f>0.165-0.281</f>
        <v>-0.11600000000000002</v>
      </c>
      <c r="M13">
        <f>1.447+0.431</f>
        <v>1.8780000000000001</v>
      </c>
      <c r="N13">
        <f>3.492</f>
        <v>3.492</v>
      </c>
    </row>
    <row r="15" spans="1:14">
      <c r="B15" s="20" t="s">
        <v>180</v>
      </c>
    </row>
    <row r="16" spans="1:14">
      <c r="D16" s="20" t="s">
        <v>177</v>
      </c>
    </row>
    <row r="17" spans="1:14">
      <c r="C17" t="s">
        <v>171</v>
      </c>
      <c r="D17" t="s">
        <v>172</v>
      </c>
      <c r="E17" t="s">
        <v>173</v>
      </c>
      <c r="F17" t="s">
        <v>174</v>
      </c>
      <c r="G17" t="s">
        <v>175</v>
      </c>
    </row>
    <row r="18" spans="1:14">
      <c r="B18" t="s">
        <v>171</v>
      </c>
      <c r="C18">
        <f>3.031+0.622</f>
        <v>3.653</v>
      </c>
      <c r="D18">
        <f>-3.206+0.667</f>
        <v>-2.5389999999999997</v>
      </c>
      <c r="E18">
        <f>-1.556+0.866</f>
        <v>-0.69000000000000006</v>
      </c>
      <c r="G18">
        <f>0.165-0.666-0.132</f>
        <v>-0.63300000000000001</v>
      </c>
    </row>
    <row r="19" spans="1:14">
      <c r="B19" t="s">
        <v>172</v>
      </c>
      <c r="C19">
        <f>-3.206+0.667</f>
        <v>-2.5389999999999997</v>
      </c>
      <c r="D19">
        <f>2.433+0.149</f>
        <v>2.5819999999999999</v>
      </c>
      <c r="E19">
        <f>-0.209-0.223</f>
        <v>-0.432</v>
      </c>
    </row>
    <row r="20" spans="1:14">
      <c r="A20" s="20" t="s">
        <v>176</v>
      </c>
      <c r="B20" t="s">
        <v>173</v>
      </c>
      <c r="D20">
        <f>-0.209-0.223</f>
        <v>-0.432</v>
      </c>
      <c r="E20">
        <f>-3.083+3.504</f>
        <v>0.42099999999999982</v>
      </c>
      <c r="F20">
        <f>-1.823+0.349</f>
        <v>-1.474</v>
      </c>
    </row>
    <row r="21" spans="1:14">
      <c r="B21" t="s">
        <v>174</v>
      </c>
      <c r="E21">
        <f>-1.823+0.439</f>
        <v>-1.3839999999999999</v>
      </c>
      <c r="F21">
        <f>3.722</f>
        <v>3.722</v>
      </c>
      <c r="G21">
        <f>1.447-0.357</f>
        <v>1.0900000000000001</v>
      </c>
    </row>
    <row r="22" spans="1:14">
      <c r="B22" t="s">
        <v>175</v>
      </c>
      <c r="C22">
        <f>0.165-0.132</f>
        <v>3.3000000000000002E-2</v>
      </c>
      <c r="F22">
        <f>1.447-0.357</f>
        <v>1.0900000000000001</v>
      </c>
      <c r="G22">
        <f>3.492-0.402</f>
        <v>3.09</v>
      </c>
    </row>
    <row r="28" spans="1:14">
      <c r="A28">
        <v>1980</v>
      </c>
    </row>
    <row r="29" spans="1:14">
      <c r="B29" s="20" t="s">
        <v>178</v>
      </c>
      <c r="I29" s="20" t="s">
        <v>179</v>
      </c>
    </row>
    <row r="30" spans="1:14">
      <c r="D30" s="20" t="s">
        <v>177</v>
      </c>
      <c r="K30" s="20" t="s">
        <v>177</v>
      </c>
    </row>
    <row r="31" spans="1:14">
      <c r="C31" t="s">
        <v>171</v>
      </c>
      <c r="D31" t="s">
        <v>172</v>
      </c>
      <c r="E31" t="s">
        <v>173</v>
      </c>
      <c r="F31" t="s">
        <v>174</v>
      </c>
      <c r="G31" t="s">
        <v>175</v>
      </c>
      <c r="J31" t="s">
        <v>171</v>
      </c>
      <c r="K31" t="s">
        <v>172</v>
      </c>
      <c r="L31" t="s">
        <v>173</v>
      </c>
      <c r="M31" t="s">
        <v>174</v>
      </c>
      <c r="N31" t="s">
        <v>175</v>
      </c>
    </row>
    <row r="32" spans="1:14">
      <c r="B32" t="s">
        <v>171</v>
      </c>
      <c r="C32">
        <f>3.031+1.195+0.622-0.6665-1.171+2.407</f>
        <v>5.4174999999999995</v>
      </c>
      <c r="D32">
        <f>-3.206+1.189+0.082+0.667</f>
        <v>-1.2679999999999998</v>
      </c>
      <c r="E32">
        <f>-1.556+0.866</f>
        <v>-0.69000000000000006</v>
      </c>
      <c r="G32">
        <f>0.165-0.666-0.743-0.281-0.132+0.874</f>
        <v>-0.78300000000000003</v>
      </c>
      <c r="I32" t="s">
        <v>171</v>
      </c>
      <c r="J32">
        <f>3.031+1.195-1.171</f>
        <v>3.0549999999999997</v>
      </c>
      <c r="K32">
        <f>-3.206+1.189+0.082</f>
        <v>-1.9349999999999998</v>
      </c>
      <c r="L32">
        <f>-1.556</f>
        <v>-1.556</v>
      </c>
      <c r="N32">
        <f>0.165-0.666-0.743-0.281+0.874</f>
        <v>-0.65099999999999991</v>
      </c>
    </row>
    <row r="33" spans="1:14">
      <c r="B33" t="s">
        <v>172</v>
      </c>
      <c r="C33">
        <f>-3.206+1.189+0.082+0.667</f>
        <v>-1.2679999999999998</v>
      </c>
      <c r="D33">
        <f>2.433+0.149+0.301-0.064+0.667-0.828</f>
        <v>2.6579999999999999</v>
      </c>
      <c r="E33">
        <f>-0.209+0.376-0.669-0.223</f>
        <v>-0.72499999999999998</v>
      </c>
      <c r="I33" t="s">
        <v>172</v>
      </c>
      <c r="J33">
        <f>-3.206+1.189+0.082</f>
        <v>-1.9349999999999998</v>
      </c>
      <c r="K33">
        <f>2.433-0.064+0.667</f>
        <v>3.0359999999999996</v>
      </c>
      <c r="L33">
        <f>-0.209+0.376-0.669</f>
        <v>-0.502</v>
      </c>
    </row>
    <row r="34" spans="1:14">
      <c r="A34" s="20" t="s">
        <v>176</v>
      </c>
      <c r="B34" t="s">
        <v>173</v>
      </c>
      <c r="D34">
        <f>-0.209+0.376-0.669-0.223</f>
        <v>-0.72499999999999998</v>
      </c>
      <c r="E34">
        <f>-3.083+1.327+3.504+2.137+0.982-2.812</f>
        <v>2.0550000000000002</v>
      </c>
      <c r="F34">
        <f>-1.823+0.353+1.031+0.439</f>
        <v>0</v>
      </c>
      <c r="H34" s="20" t="s">
        <v>176</v>
      </c>
      <c r="I34" t="s">
        <v>173</v>
      </c>
      <c r="K34">
        <f>-0.209+0.376-0.669</f>
        <v>-0.502</v>
      </c>
      <c r="L34">
        <f>-3.083+1.327+2.137+0.982</f>
        <v>1.3629999999999998</v>
      </c>
      <c r="M34">
        <f>-1.823+0.353+1.031</f>
        <v>-0.43900000000000006</v>
      </c>
    </row>
    <row r="35" spans="1:14">
      <c r="B35" t="s">
        <v>174</v>
      </c>
      <c r="E35">
        <f>-1.823+0.353+1.031+0.439</f>
        <v>0</v>
      </c>
      <c r="F35">
        <f>-1.211+3.722-0.438+4.088-2.374+0.246</f>
        <v>4.0329999999999995</v>
      </c>
      <c r="G35">
        <f>1.447-0.482+0.431-0.357</f>
        <v>1.0390000000000001</v>
      </c>
      <c r="I35" t="s">
        <v>174</v>
      </c>
      <c r="L35">
        <f>-1.823+0.353+1.031</f>
        <v>-0.43900000000000006</v>
      </c>
      <c r="M35">
        <f>-1.211+4.088</f>
        <v>2.8769999999999998</v>
      </c>
      <c r="N35">
        <f>1.447-0.482+0.431</f>
        <v>1.3960000000000001</v>
      </c>
    </row>
    <row r="36" spans="1:14">
      <c r="B36" t="s">
        <v>175</v>
      </c>
      <c r="C36">
        <f>0.165-0.743-0.281-0.132</f>
        <v>-0.99099999999999999</v>
      </c>
      <c r="F36">
        <f>1.447-0.482+0.431-0.357</f>
        <v>1.0390000000000001</v>
      </c>
      <c r="G36">
        <f>3.492-0.614-0.402-0.319+1.235-0.166</f>
        <v>3.2260000000000004</v>
      </c>
      <c r="I36" t="s">
        <v>175</v>
      </c>
      <c r="J36">
        <f>0.165-0.743-0.281</f>
        <v>-0.85899999999999999</v>
      </c>
      <c r="M36">
        <f>1.447-0.482+0.431</f>
        <v>1.3960000000000001</v>
      </c>
      <c r="N36">
        <f>3.492-0.614-0.319</f>
        <v>2.5590000000000002</v>
      </c>
    </row>
    <row r="38" spans="1:14">
      <c r="B38" s="20" t="s">
        <v>180</v>
      </c>
    </row>
    <row r="39" spans="1:14">
      <c r="D39" s="20" t="s">
        <v>177</v>
      </c>
    </row>
    <row r="40" spans="1:14">
      <c r="C40" t="s">
        <v>171</v>
      </c>
      <c r="D40" t="s">
        <v>172</v>
      </c>
      <c r="E40" t="s">
        <v>173</v>
      </c>
      <c r="F40" t="s">
        <v>174</v>
      </c>
      <c r="G40" t="s">
        <v>175</v>
      </c>
    </row>
    <row r="41" spans="1:14">
      <c r="B41" t="s">
        <v>171</v>
      </c>
      <c r="C41">
        <f>3.031+1.195+0.622-0.6665</f>
        <v>4.1814999999999998</v>
      </c>
      <c r="D41">
        <f>-3.206+1.189+0.667</f>
        <v>-1.3499999999999999</v>
      </c>
      <c r="E41">
        <f>-1.556+0.866</f>
        <v>-0.69000000000000006</v>
      </c>
      <c r="G41">
        <f>0.165-0.666-0.743-0.132+0.874</f>
        <v>-0.50199999999999989</v>
      </c>
    </row>
    <row r="42" spans="1:14">
      <c r="B42" t="s">
        <v>172</v>
      </c>
      <c r="C42">
        <f>-3.206+1.189+0.667</f>
        <v>-1.3499999999999999</v>
      </c>
      <c r="D42">
        <f>2.433+0.149+0.301</f>
        <v>2.883</v>
      </c>
      <c r="E42">
        <f>-0.209+0.376-0.223</f>
        <v>-5.5999999999999994E-2</v>
      </c>
    </row>
    <row r="43" spans="1:14">
      <c r="A43" s="20" t="s">
        <v>176</v>
      </c>
      <c r="B43" t="s">
        <v>173</v>
      </c>
      <c r="D43">
        <f>-0.209+0.376-0.223</f>
        <v>-5.5999999999999994E-2</v>
      </c>
      <c r="E43">
        <f>-3.083+1.327+3.504</f>
        <v>1.7479999999999998</v>
      </c>
      <c r="F43">
        <f>-1.823+0.353+0.439</f>
        <v>-1.0309999999999999</v>
      </c>
    </row>
    <row r="44" spans="1:14">
      <c r="B44" t="s">
        <v>174</v>
      </c>
      <c r="E44">
        <f>-1.823+0.353+0.439</f>
        <v>-1.0309999999999999</v>
      </c>
      <c r="F44">
        <f>-1.211+3.722-0.438</f>
        <v>2.073</v>
      </c>
      <c r="G44">
        <f>1.447-0.482-0.357</f>
        <v>0.6080000000000001</v>
      </c>
    </row>
    <row r="45" spans="1:14">
      <c r="B45" t="s">
        <v>175</v>
      </c>
      <c r="C45">
        <f>0.165-0.743-0.132</f>
        <v>-0.71</v>
      </c>
      <c r="F45">
        <f>1.447-0.482-0.357</f>
        <v>0.6080000000000001</v>
      </c>
      <c r="G45">
        <f>3.492-0.614-0.402</f>
        <v>2.476</v>
      </c>
    </row>
    <row r="50" spans="1:14">
      <c r="A50">
        <v>1990</v>
      </c>
    </row>
    <row r="51" spans="1:14">
      <c r="B51" s="20" t="s">
        <v>178</v>
      </c>
      <c r="I51" s="20" t="s">
        <v>179</v>
      </c>
    </row>
    <row r="52" spans="1:14">
      <c r="D52" s="20" t="s">
        <v>177</v>
      </c>
      <c r="K52" s="20" t="s">
        <v>177</v>
      </c>
    </row>
    <row r="53" spans="1:14">
      <c r="C53" t="s">
        <v>171</v>
      </c>
      <c r="D53" t="s">
        <v>172</v>
      </c>
      <c r="E53" t="s">
        <v>173</v>
      </c>
      <c r="F53" t="s">
        <v>174</v>
      </c>
      <c r="G53" t="s">
        <v>175</v>
      </c>
      <c r="J53" t="s">
        <v>171</v>
      </c>
      <c r="K53" t="s">
        <v>172</v>
      </c>
      <c r="L53" t="s">
        <v>173</v>
      </c>
      <c r="M53" t="s">
        <v>174</v>
      </c>
      <c r="N53" t="s">
        <v>175</v>
      </c>
    </row>
    <row r="54" spans="1:14">
      <c r="B54" t="s">
        <v>171</v>
      </c>
      <c r="C54">
        <f>3.031-0.817+0.622+1.12+2.407-1.402</f>
        <v>4.9610000000000003</v>
      </c>
      <c r="D54">
        <f>-3.206+1.26+0.082+0.667</f>
        <v>-1.1969999999999998</v>
      </c>
      <c r="E54">
        <f>-1.556+0.866</f>
        <v>-0.69000000000000006</v>
      </c>
      <c r="G54">
        <f>0.165-0.666-0.345-0.281-0.132+0.771</f>
        <v>-0.48799999999999988</v>
      </c>
      <c r="I54" t="s">
        <v>171</v>
      </c>
      <c r="J54">
        <f>3.031-0.817</f>
        <v>2.2140000000000004</v>
      </c>
      <c r="K54">
        <f>-3.206+1.26+0.082</f>
        <v>-1.8639999999999999</v>
      </c>
      <c r="L54">
        <f>-1.556</f>
        <v>-1.556</v>
      </c>
      <c r="N54">
        <f>0.165-0.666-0.345-0.281+0.771</f>
        <v>-0.35599999999999998</v>
      </c>
    </row>
    <row r="55" spans="1:14">
      <c r="B55" t="s">
        <v>172</v>
      </c>
      <c r="C55">
        <f>-3.206+1.26+0.082+0.667</f>
        <v>-1.1969999999999998</v>
      </c>
      <c r="D55">
        <f>2.433+0.028+0.149-0.253-0.064-0.23</f>
        <v>2.0629999999999997</v>
      </c>
      <c r="E55">
        <f>-0.209+0.055-0.669-0.223</f>
        <v>-1.046</v>
      </c>
      <c r="I55" t="s">
        <v>172</v>
      </c>
      <c r="J55">
        <f>-3.206+1.26+0.082</f>
        <v>-1.8639999999999999</v>
      </c>
      <c r="K55">
        <f>2.433+0.028-0.064</f>
        <v>2.3969999999999998</v>
      </c>
      <c r="L55">
        <f>-0.209+0.055-0.669</f>
        <v>-0.82300000000000006</v>
      </c>
    </row>
    <row r="56" spans="1:14">
      <c r="A56" s="20" t="s">
        <v>176</v>
      </c>
      <c r="B56" t="s">
        <v>173</v>
      </c>
      <c r="D56">
        <f>-0.209+0.055-0.669-0.223</f>
        <v>-1.046</v>
      </c>
      <c r="E56">
        <f>-3.083+3.894+3.504-2.872+2.137-1.729</f>
        <v>1.8509999999999995</v>
      </c>
      <c r="F56">
        <f>-1.823+0.589+1.031+0.439</f>
        <v>0.23599999999999993</v>
      </c>
      <c r="H56" s="20" t="s">
        <v>176</v>
      </c>
      <c r="I56" t="s">
        <v>173</v>
      </c>
      <c r="K56">
        <f>-0.209+0.055-0.669</f>
        <v>-0.82300000000000006</v>
      </c>
      <c r="L56">
        <f>-3.083+3.894+2.137-1.729</f>
        <v>1.2189999999999999</v>
      </c>
      <c r="M56">
        <f>-1.823+0.589+1.031</f>
        <v>-0.20300000000000007</v>
      </c>
    </row>
    <row r="57" spans="1:14">
      <c r="B57" t="s">
        <v>174</v>
      </c>
      <c r="E57">
        <f>-1.823+0.589+1.031+0.439</f>
        <v>0.23599999999999993</v>
      </c>
      <c r="F57">
        <f>-0.948+3.722-0.392+4.088-2.374+0.07</f>
        <v>4.1660000000000004</v>
      </c>
      <c r="G57">
        <f>1.447-0.173+0.431-0.357</f>
        <v>1.3480000000000001</v>
      </c>
      <c r="I57" t="s">
        <v>174</v>
      </c>
      <c r="L57">
        <f>-1.823+0.589+1.031</f>
        <v>-0.20300000000000007</v>
      </c>
      <c r="M57">
        <f>-0.948+4.088</f>
        <v>3.14</v>
      </c>
      <c r="N57">
        <f>1.447-0.173+0.431</f>
        <v>1.7050000000000001</v>
      </c>
    </row>
    <row r="58" spans="1:14">
      <c r="B58" t="s">
        <v>175</v>
      </c>
      <c r="C58">
        <f>0.165-0.345-0.281-0.132</f>
        <v>-0.59299999999999997</v>
      </c>
      <c r="F58">
        <f>1.447-0.173+0.431-0.357</f>
        <v>1.3480000000000001</v>
      </c>
      <c r="G58">
        <f>3.492+0.19-0.402-0.547-0.755+1.235</f>
        <v>3.2130000000000001</v>
      </c>
      <c r="I58" t="s">
        <v>175</v>
      </c>
      <c r="J58">
        <f>0.165-0.345-0.281</f>
        <v>-0.46099999999999997</v>
      </c>
      <c r="M58">
        <f>1.447-0.173+0.431</f>
        <v>1.7050000000000001</v>
      </c>
      <c r="N58">
        <f>3.492+0.19-0.755</f>
        <v>2.927</v>
      </c>
    </row>
    <row r="60" spans="1:14">
      <c r="B60" s="20" t="s">
        <v>180</v>
      </c>
    </row>
    <row r="61" spans="1:14">
      <c r="D61" s="20" t="s">
        <v>177</v>
      </c>
    </row>
    <row r="62" spans="1:14">
      <c r="C62" t="s">
        <v>171</v>
      </c>
      <c r="D62" t="s">
        <v>172</v>
      </c>
      <c r="E62" t="s">
        <v>173</v>
      </c>
      <c r="F62" t="s">
        <v>174</v>
      </c>
      <c r="G62" t="s">
        <v>175</v>
      </c>
    </row>
    <row r="63" spans="1:14">
      <c r="B63" t="s">
        <v>171</v>
      </c>
      <c r="C63">
        <f>3.031-0.817+0.622+1.12</f>
        <v>3.9560000000000004</v>
      </c>
      <c r="D63">
        <f>-3.206+1.26+0.667</f>
        <v>-1.2789999999999999</v>
      </c>
      <c r="E63">
        <f>-1.556+0.866</f>
        <v>-0.69000000000000006</v>
      </c>
      <c r="G63">
        <f>0.165-0.666-0.345-0.132+0.771</f>
        <v>-0.20699999999999996</v>
      </c>
    </row>
    <row r="64" spans="1:14">
      <c r="B64" t="s">
        <v>172</v>
      </c>
      <c r="C64">
        <f>-3.206+1.26+0.667</f>
        <v>-1.2789999999999999</v>
      </c>
      <c r="D64">
        <f>2.433+0.028+0.149-0.253</f>
        <v>2.3569999999999998</v>
      </c>
      <c r="E64">
        <f>-0.209+0.055-0.223</f>
        <v>-0.377</v>
      </c>
    </row>
    <row r="65" spans="1:7">
      <c r="A65" s="20" t="s">
        <v>176</v>
      </c>
      <c r="B65" t="s">
        <v>173</v>
      </c>
      <c r="D65">
        <f>-0.209+0.055-0.223</f>
        <v>-0.377</v>
      </c>
      <c r="E65">
        <f>-3.083+3.894+3.504-2.872</f>
        <v>1.4429999999999996</v>
      </c>
      <c r="F65">
        <f>-1.823+0.589+0.439</f>
        <v>-0.79499999999999993</v>
      </c>
    </row>
    <row r="66" spans="1:7">
      <c r="B66" t="s">
        <v>174</v>
      </c>
      <c r="E66">
        <f>-1.823+0.589+0.439</f>
        <v>-0.79499999999999993</v>
      </c>
      <c r="F66">
        <f>-0.948+3.722-0.392</f>
        <v>2.3820000000000001</v>
      </c>
      <c r="G66">
        <f>1.447-0.173-0.357</f>
        <v>0.91700000000000004</v>
      </c>
    </row>
    <row r="67" spans="1:7">
      <c r="B67" t="s">
        <v>175</v>
      </c>
      <c r="C67">
        <f>0.165-0.345-0.132</f>
        <v>-0.31199999999999994</v>
      </c>
      <c r="F67">
        <f>1.447-0.173-0.357</f>
        <v>0.91700000000000004</v>
      </c>
      <c r="G67">
        <f>3.492+0.19-0.402-0.547</f>
        <v>2.7329999999999997</v>
      </c>
    </row>
    <row r="71" spans="1:7">
      <c r="A71" s="20" t="s">
        <v>181</v>
      </c>
    </row>
    <row r="72" spans="1:7">
      <c r="C72" s="20" t="s">
        <v>177</v>
      </c>
    </row>
    <row r="73" spans="1:7">
      <c r="B73" t="s">
        <v>171</v>
      </c>
      <c r="C73" t="s">
        <v>172</v>
      </c>
      <c r="D73" t="s">
        <v>173</v>
      </c>
      <c r="E73" t="s">
        <v>174</v>
      </c>
      <c r="F73" t="s">
        <v>175</v>
      </c>
    </row>
    <row r="74" spans="1:7">
      <c r="A74" t="s">
        <v>171</v>
      </c>
      <c r="B74">
        <f t="shared" ref="B74:D75" si="0">J54-C54</f>
        <v>-2.7469999999999999</v>
      </c>
      <c r="C74">
        <f t="shared" si="0"/>
        <v>-0.66700000000000004</v>
      </c>
      <c r="D74">
        <f t="shared" si="0"/>
        <v>-0.86599999999999999</v>
      </c>
      <c r="F74">
        <f>N54-G54</f>
        <v>0.1319999999999999</v>
      </c>
    </row>
    <row r="75" spans="1:7">
      <c r="A75" t="s">
        <v>172</v>
      </c>
      <c r="B75">
        <f t="shared" si="0"/>
        <v>-0.66700000000000004</v>
      </c>
      <c r="C75">
        <f t="shared" si="0"/>
        <v>0.33400000000000007</v>
      </c>
      <c r="D75">
        <f t="shared" si="0"/>
        <v>0.22299999999999998</v>
      </c>
    </row>
    <row r="76" spans="1:7">
      <c r="A76" t="s">
        <v>173</v>
      </c>
      <c r="C76">
        <f>K56-D56</f>
        <v>0.22299999999999998</v>
      </c>
      <c r="D76">
        <f>L56-E56</f>
        <v>-0.63199999999999967</v>
      </c>
      <c r="E76">
        <f>M56-F56</f>
        <v>-0.439</v>
      </c>
    </row>
    <row r="77" spans="1:7">
      <c r="A77" t="s">
        <v>174</v>
      </c>
      <c r="D77">
        <f>L57-E57</f>
        <v>-0.439</v>
      </c>
      <c r="E77">
        <f>M57-F57</f>
        <v>-1.0260000000000002</v>
      </c>
      <c r="F77">
        <f>N57-G57</f>
        <v>0.35699999999999998</v>
      </c>
    </row>
    <row r="78" spans="1:7">
      <c r="A78" t="s">
        <v>175</v>
      </c>
      <c r="B78">
        <f>J58-C58</f>
        <v>0.13200000000000001</v>
      </c>
      <c r="E78">
        <f>M58-F58</f>
        <v>0.35699999999999998</v>
      </c>
      <c r="F78">
        <f>N58-G58</f>
        <v>-0.28600000000000003</v>
      </c>
    </row>
  </sheetData>
  <phoneticPr fontId="4" type="noConversion"/>
  <pageMargins left="0.75" right="0.75" top="1" bottom="1" header="0.5" footer="0.5"/>
  <pageSetup orientation="portrait" horizontalDpi="0" verticalDpi="0"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6:W75"/>
  <sheetViews>
    <sheetView topLeftCell="A226" workbookViewId="0">
      <selection activeCell="T37" sqref="T37"/>
    </sheetView>
  </sheetViews>
  <sheetFormatPr defaultRowHeight="11.4"/>
  <sheetData>
    <row r="16" spans="1:1">
      <c r="A16">
        <v>1990</v>
      </c>
    </row>
    <row r="17" spans="1:16">
      <c r="B17" s="20" t="s">
        <v>178</v>
      </c>
      <c r="J17" s="20" t="s">
        <v>179</v>
      </c>
    </row>
    <row r="18" spans="1:16">
      <c r="D18" s="20" t="s">
        <v>177</v>
      </c>
      <c r="L18" s="20" t="s">
        <v>177</v>
      </c>
    </row>
    <row r="19" spans="1:16">
      <c r="C19" t="s">
        <v>171</v>
      </c>
      <c r="D19" t="s">
        <v>172</v>
      </c>
      <c r="E19" t="s">
        <v>173</v>
      </c>
      <c r="F19" t="s">
        <v>174</v>
      </c>
      <c r="G19" t="s">
        <v>175</v>
      </c>
      <c r="K19" t="s">
        <v>171</v>
      </c>
      <c r="L19" t="s">
        <v>172</v>
      </c>
      <c r="M19" t="s">
        <v>173</v>
      </c>
      <c r="N19" t="s">
        <v>174</v>
      </c>
      <c r="O19" t="s">
        <v>175</v>
      </c>
    </row>
    <row r="20" spans="1:16">
      <c r="B20" t="s">
        <v>171</v>
      </c>
      <c r="C20">
        <v>12005</v>
      </c>
      <c r="D20">
        <v>109</v>
      </c>
      <c r="E20">
        <v>109</v>
      </c>
      <c r="F20">
        <v>66</v>
      </c>
      <c r="G20">
        <v>809</v>
      </c>
      <c r="J20" t="s">
        <v>171</v>
      </c>
      <c r="K20">
        <v>230</v>
      </c>
      <c r="L20">
        <v>26</v>
      </c>
      <c r="M20">
        <v>60</v>
      </c>
      <c r="N20">
        <v>79</v>
      </c>
      <c r="O20">
        <v>65</v>
      </c>
    </row>
    <row r="21" spans="1:16">
      <c r="B21" t="s">
        <v>172</v>
      </c>
      <c r="C21">
        <v>43</v>
      </c>
      <c r="D21">
        <v>5019</v>
      </c>
      <c r="E21">
        <v>121</v>
      </c>
      <c r="F21">
        <v>107</v>
      </c>
      <c r="G21">
        <v>2204</v>
      </c>
      <c r="J21" t="s">
        <v>172</v>
      </c>
      <c r="K21">
        <v>1</v>
      </c>
      <c r="L21">
        <v>878</v>
      </c>
      <c r="M21">
        <v>66</v>
      </c>
      <c r="N21">
        <v>43</v>
      </c>
      <c r="O21">
        <v>60</v>
      </c>
    </row>
    <row r="22" spans="1:16">
      <c r="A22" s="20" t="s">
        <v>176</v>
      </c>
      <c r="B22" t="s">
        <v>173</v>
      </c>
      <c r="C22">
        <v>78</v>
      </c>
      <c r="D22">
        <v>122</v>
      </c>
      <c r="E22">
        <v>1197</v>
      </c>
      <c r="F22">
        <v>80</v>
      </c>
      <c r="G22">
        <v>1163</v>
      </c>
      <c r="I22" s="20" t="s">
        <v>176</v>
      </c>
      <c r="J22" t="s">
        <v>173</v>
      </c>
      <c r="K22">
        <v>12</v>
      </c>
      <c r="L22">
        <v>36</v>
      </c>
      <c r="M22">
        <v>481</v>
      </c>
      <c r="N22">
        <v>35</v>
      </c>
      <c r="O22">
        <v>38</v>
      </c>
    </row>
    <row r="23" spans="1:16">
      <c r="B23" t="s">
        <v>174</v>
      </c>
      <c r="C23">
        <v>26</v>
      </c>
      <c r="D23">
        <v>104</v>
      </c>
      <c r="E23">
        <v>62</v>
      </c>
      <c r="F23">
        <v>1135</v>
      </c>
      <c r="G23">
        <v>1392</v>
      </c>
      <c r="J23" t="s">
        <v>174</v>
      </c>
      <c r="K23">
        <v>2</v>
      </c>
      <c r="L23">
        <v>17</v>
      </c>
      <c r="M23">
        <v>20</v>
      </c>
      <c r="N23">
        <v>158</v>
      </c>
      <c r="O23">
        <v>34</v>
      </c>
    </row>
    <row r="24" spans="1:16">
      <c r="B24" t="s">
        <v>175</v>
      </c>
      <c r="C24">
        <v>263</v>
      </c>
      <c r="D24">
        <v>2210</v>
      </c>
      <c r="E24">
        <v>1227</v>
      </c>
      <c r="F24">
        <v>1430</v>
      </c>
      <c r="G24">
        <v>188975</v>
      </c>
      <c r="H24" t="s">
        <v>182</v>
      </c>
      <c r="J24" t="s">
        <v>175</v>
      </c>
      <c r="K24">
        <v>36</v>
      </c>
      <c r="L24">
        <v>296</v>
      </c>
      <c r="M24">
        <v>632</v>
      </c>
      <c r="N24">
        <v>1012</v>
      </c>
      <c r="O24">
        <v>3629</v>
      </c>
      <c r="P24" t="s">
        <v>182</v>
      </c>
    </row>
    <row r="25" spans="1:16">
      <c r="H25">
        <f>SUM(C20:G24)</f>
        <v>220056</v>
      </c>
      <c r="P25">
        <f>SUM(K20:O24)</f>
        <v>7946</v>
      </c>
    </row>
    <row r="30" spans="1:16">
      <c r="A30">
        <v>1990</v>
      </c>
    </row>
    <row r="31" spans="1:16">
      <c r="B31" s="20" t="s">
        <v>178</v>
      </c>
      <c r="J31" s="20" t="s">
        <v>179</v>
      </c>
    </row>
    <row r="32" spans="1:16">
      <c r="D32" s="20" t="s">
        <v>177</v>
      </c>
      <c r="L32" s="20" t="s">
        <v>177</v>
      </c>
    </row>
    <row r="33" spans="1:16">
      <c r="C33" t="s">
        <v>171</v>
      </c>
      <c r="D33" t="s">
        <v>172</v>
      </c>
      <c r="E33" t="s">
        <v>173</v>
      </c>
      <c r="F33" t="s">
        <v>174</v>
      </c>
      <c r="G33" t="s">
        <v>175</v>
      </c>
      <c r="K33" t="s">
        <v>171</v>
      </c>
      <c r="L33" t="s">
        <v>172</v>
      </c>
      <c r="M33" t="s">
        <v>173</v>
      </c>
      <c r="N33" t="s">
        <v>174</v>
      </c>
      <c r="O33" t="s">
        <v>175</v>
      </c>
    </row>
    <row r="34" spans="1:16">
      <c r="B34" t="s">
        <v>171</v>
      </c>
      <c r="C34">
        <f t="shared" ref="C34:G36" si="0">LN(C20)</f>
        <v>9.3930785086553534</v>
      </c>
      <c r="D34">
        <f t="shared" si="0"/>
        <v>4.6913478822291435</v>
      </c>
      <c r="E34">
        <f t="shared" si="0"/>
        <v>4.6913478822291435</v>
      </c>
      <c r="F34">
        <f t="shared" si="0"/>
        <v>4.1896547420264252</v>
      </c>
      <c r="G34">
        <f t="shared" si="0"/>
        <v>6.6957989170584913</v>
      </c>
      <c r="J34" t="s">
        <v>171</v>
      </c>
      <c r="K34">
        <f t="shared" ref="K34:O38" si="1">LN(K20)</f>
        <v>5.4380793089231956</v>
      </c>
      <c r="L34">
        <f t="shared" si="1"/>
        <v>3.2580965380214821</v>
      </c>
      <c r="M34">
        <f t="shared" si="1"/>
        <v>4.0943445622221004</v>
      </c>
      <c r="N34">
        <f t="shared" si="1"/>
        <v>4.3694478524670215</v>
      </c>
      <c r="O34">
        <f t="shared" si="1"/>
        <v>4.1743872698956368</v>
      </c>
    </row>
    <row r="35" spans="1:16">
      <c r="B35" t="s">
        <v>172</v>
      </c>
      <c r="C35">
        <f t="shared" si="0"/>
        <v>3.7612001156935624</v>
      </c>
      <c r="D35">
        <f t="shared" si="0"/>
        <v>8.5209859896549336</v>
      </c>
      <c r="E35">
        <f t="shared" si="0"/>
        <v>4.7957905455967413</v>
      </c>
      <c r="F35">
        <f t="shared" si="0"/>
        <v>4.6728288344619058</v>
      </c>
      <c r="G35">
        <f t="shared" si="0"/>
        <v>7.6980291702728048</v>
      </c>
      <c r="J35" t="s">
        <v>172</v>
      </c>
      <c r="K35">
        <f t="shared" si="1"/>
        <v>0</v>
      </c>
      <c r="L35">
        <f t="shared" si="1"/>
        <v>6.7776465936351169</v>
      </c>
      <c r="M35">
        <f t="shared" si="1"/>
        <v>4.1896547420264252</v>
      </c>
      <c r="N35">
        <f t="shared" si="1"/>
        <v>3.7612001156935624</v>
      </c>
      <c r="O35">
        <f t="shared" si="1"/>
        <v>4.0943445622221004</v>
      </c>
    </row>
    <row r="36" spans="1:16">
      <c r="A36" s="20" t="s">
        <v>176</v>
      </c>
      <c r="B36" t="s">
        <v>173</v>
      </c>
      <c r="C36">
        <f t="shared" si="0"/>
        <v>4.3567088266895917</v>
      </c>
      <c r="D36">
        <f t="shared" si="0"/>
        <v>4.8040210447332568</v>
      </c>
      <c r="E36">
        <f t="shared" si="0"/>
        <v>7.0875737055579728</v>
      </c>
      <c r="F36">
        <f t="shared" si="0"/>
        <v>4.3820266346738812</v>
      </c>
      <c r="G36">
        <f t="shared" si="0"/>
        <v>7.0587581525186645</v>
      </c>
      <c r="I36" s="20" t="s">
        <v>176</v>
      </c>
      <c r="J36" t="s">
        <v>173</v>
      </c>
      <c r="K36">
        <f t="shared" si="1"/>
        <v>2.4849066497880004</v>
      </c>
      <c r="L36">
        <f t="shared" si="1"/>
        <v>3.5835189384561099</v>
      </c>
      <c r="M36">
        <f t="shared" si="1"/>
        <v>6.1758672701057611</v>
      </c>
      <c r="N36">
        <f t="shared" si="1"/>
        <v>3.5553480614894135</v>
      </c>
      <c r="O36">
        <f t="shared" si="1"/>
        <v>3.6375861597263857</v>
      </c>
    </row>
    <row r="37" spans="1:16">
      <c r="B37" t="s">
        <v>174</v>
      </c>
      <c r="C37">
        <f t="shared" ref="C37:G38" si="2">LN(C23)</f>
        <v>3.2580965380214821</v>
      </c>
      <c r="D37">
        <f t="shared" si="2"/>
        <v>4.6443908991413725</v>
      </c>
      <c r="E37">
        <f t="shared" si="2"/>
        <v>4.1271343850450917</v>
      </c>
      <c r="F37">
        <f t="shared" si="2"/>
        <v>7.0343879299155034</v>
      </c>
      <c r="G37">
        <f t="shared" si="2"/>
        <v>7.2384968408943653</v>
      </c>
      <c r="J37" t="s">
        <v>174</v>
      </c>
      <c r="K37">
        <f t="shared" si="1"/>
        <v>0.69314718055994529</v>
      </c>
      <c r="L37">
        <f t="shared" si="1"/>
        <v>2.8332133440562162</v>
      </c>
      <c r="M37">
        <f t="shared" si="1"/>
        <v>2.9957322735539909</v>
      </c>
      <c r="N37">
        <f t="shared" si="1"/>
        <v>5.0625950330269669</v>
      </c>
      <c r="O37">
        <f t="shared" si="1"/>
        <v>3.5263605246161616</v>
      </c>
    </row>
    <row r="38" spans="1:16">
      <c r="B38" t="s">
        <v>175</v>
      </c>
      <c r="C38">
        <f t="shared" si="2"/>
        <v>5.5721540321777647</v>
      </c>
      <c r="D38">
        <f t="shared" si="2"/>
        <v>7.7007477945117984</v>
      </c>
      <c r="E38">
        <f t="shared" si="2"/>
        <v>7.1123274447109113</v>
      </c>
      <c r="F38">
        <f t="shared" si="2"/>
        <v>7.2654297232539529</v>
      </c>
      <c r="G38">
        <f t="shared" si="2"/>
        <v>12.149370010160377</v>
      </c>
      <c r="J38" t="s">
        <v>175</v>
      </c>
      <c r="K38">
        <f t="shared" si="1"/>
        <v>3.5835189384561099</v>
      </c>
      <c r="L38">
        <f t="shared" si="1"/>
        <v>5.6903594543240601</v>
      </c>
      <c r="M38">
        <f t="shared" si="1"/>
        <v>6.4488893941468577</v>
      </c>
      <c r="N38">
        <f t="shared" si="1"/>
        <v>6.9196838498474111</v>
      </c>
      <c r="O38">
        <f t="shared" si="1"/>
        <v>8.1967124072130702</v>
      </c>
    </row>
    <row r="39" spans="1:16">
      <c r="H39" t="s">
        <v>183</v>
      </c>
      <c r="P39" t="s">
        <v>183</v>
      </c>
    </row>
    <row r="40" spans="1:16">
      <c r="H40">
        <f>SUM(C34:G38)/25</f>
        <v>6.1160674619953781</v>
      </c>
      <c r="P40">
        <f>SUM(K34:O38)/25</f>
        <v>4.2217856409789247</v>
      </c>
    </row>
    <row r="47" spans="1:16">
      <c r="A47">
        <v>1990</v>
      </c>
    </row>
    <row r="48" spans="1:16">
      <c r="B48" s="20" t="s">
        <v>178</v>
      </c>
      <c r="J48" s="20" t="s">
        <v>179</v>
      </c>
    </row>
    <row r="49" spans="1:16">
      <c r="D49" s="20" t="s">
        <v>177</v>
      </c>
      <c r="H49" t="s">
        <v>185</v>
      </c>
      <c r="L49" s="20" t="s">
        <v>177</v>
      </c>
      <c r="P49" t="s">
        <v>188</v>
      </c>
    </row>
    <row r="50" spans="1:16">
      <c r="C50" t="s">
        <v>171</v>
      </c>
      <c r="D50" t="s">
        <v>172</v>
      </c>
      <c r="E50" t="s">
        <v>173</v>
      </c>
      <c r="F50" t="s">
        <v>174</v>
      </c>
      <c r="G50" t="s">
        <v>175</v>
      </c>
      <c r="H50" t="s">
        <v>186</v>
      </c>
      <c r="K50" t="s">
        <v>171</v>
      </c>
      <c r="L50" t="s">
        <v>172</v>
      </c>
      <c r="M50" t="s">
        <v>173</v>
      </c>
      <c r="N50" t="s">
        <v>174</v>
      </c>
      <c r="O50" t="s">
        <v>175</v>
      </c>
      <c r="P50" t="s">
        <v>186</v>
      </c>
    </row>
    <row r="51" spans="1:16">
      <c r="B51" t="s">
        <v>171</v>
      </c>
      <c r="C51" s="27">
        <f t="shared" ref="C51:G53" si="3">C34-$H$40</f>
        <v>3.2770110466599753</v>
      </c>
      <c r="D51" s="28">
        <f t="shared" si="3"/>
        <v>-1.4247195797662346</v>
      </c>
      <c r="E51" s="28">
        <f t="shared" si="3"/>
        <v>-1.4247195797662346</v>
      </c>
      <c r="F51" s="28">
        <f t="shared" si="3"/>
        <v>-1.9264127199689529</v>
      </c>
      <c r="G51" s="29">
        <f t="shared" si="3"/>
        <v>0.57973145506311319</v>
      </c>
      <c r="H51" s="30">
        <f>SUM(C51:G51)/5</f>
        <v>-0.18382187555566673</v>
      </c>
      <c r="J51" t="s">
        <v>171</v>
      </c>
      <c r="K51" s="27">
        <f t="shared" ref="K51:O53" si="4">K34-$P$40</f>
        <v>1.2162936679442709</v>
      </c>
      <c r="L51" s="28">
        <f t="shared" si="4"/>
        <v>-0.96368910295744259</v>
      </c>
      <c r="M51" s="28">
        <f t="shared" si="4"/>
        <v>-0.12744107875682431</v>
      </c>
      <c r="N51" s="28">
        <f t="shared" si="4"/>
        <v>0.14766221148809677</v>
      </c>
      <c r="O51" s="29">
        <f t="shared" si="4"/>
        <v>-4.7398371083287927E-2</v>
      </c>
      <c r="P51" s="30">
        <f>SUM(K51:O51)/5</f>
        <v>4.5085465326962559E-2</v>
      </c>
    </row>
    <row r="52" spans="1:16">
      <c r="B52" t="s">
        <v>172</v>
      </c>
      <c r="C52" s="23">
        <f t="shared" si="3"/>
        <v>-2.3548673463018157</v>
      </c>
      <c r="D52" s="21">
        <f t="shared" si="3"/>
        <v>2.4049185276595555</v>
      </c>
      <c r="E52" s="21">
        <f t="shared" si="3"/>
        <v>-1.3202769163986368</v>
      </c>
      <c r="F52" s="21">
        <f t="shared" si="3"/>
        <v>-1.4432386275334723</v>
      </c>
      <c r="G52" s="25">
        <f t="shared" si="3"/>
        <v>1.5819617082774267</v>
      </c>
      <c r="H52" s="30">
        <f>SUM(C52:G52)/5</f>
        <v>-0.22630053085938853</v>
      </c>
      <c r="J52" t="s">
        <v>172</v>
      </c>
      <c r="K52" s="23">
        <f t="shared" si="4"/>
        <v>-4.2217856409789247</v>
      </c>
      <c r="L52" s="21">
        <f t="shared" si="4"/>
        <v>2.5558609526561922</v>
      </c>
      <c r="M52" s="21">
        <f t="shared" si="4"/>
        <v>-3.2130898952499543E-2</v>
      </c>
      <c r="N52" s="21">
        <f t="shared" si="4"/>
        <v>-0.46058552528536234</v>
      </c>
      <c r="O52" s="25">
        <f t="shared" si="4"/>
        <v>-0.12744107875682431</v>
      </c>
      <c r="P52" s="30">
        <f>SUM(K52:O52)/5</f>
        <v>-0.45721643826348374</v>
      </c>
    </row>
    <row r="53" spans="1:16">
      <c r="A53" s="20" t="s">
        <v>176</v>
      </c>
      <c r="B53" t="s">
        <v>173</v>
      </c>
      <c r="C53" s="23">
        <f t="shared" si="3"/>
        <v>-1.7593586353057864</v>
      </c>
      <c r="D53" s="21">
        <f t="shared" si="3"/>
        <v>-1.3120464172621213</v>
      </c>
      <c r="E53" s="21">
        <f t="shared" si="3"/>
        <v>0.97150624356259474</v>
      </c>
      <c r="F53" s="21">
        <f t="shared" si="3"/>
        <v>-1.7340408273214969</v>
      </c>
      <c r="G53" s="25">
        <f t="shared" si="3"/>
        <v>0.94269069052328636</v>
      </c>
      <c r="H53" s="30">
        <f>SUM(C53:G53)/5</f>
        <v>-0.57824978916070469</v>
      </c>
      <c r="I53" s="20" t="s">
        <v>176</v>
      </c>
      <c r="J53" t="s">
        <v>173</v>
      </c>
      <c r="K53" s="23">
        <f t="shared" si="4"/>
        <v>-1.7368789911909244</v>
      </c>
      <c r="L53" s="21">
        <f t="shared" si="4"/>
        <v>-0.63826670252281481</v>
      </c>
      <c r="M53" s="21">
        <f t="shared" si="4"/>
        <v>1.9540816291268364</v>
      </c>
      <c r="N53" s="21">
        <f t="shared" si="4"/>
        <v>-0.66643757948951121</v>
      </c>
      <c r="O53" s="25">
        <f t="shared" si="4"/>
        <v>-0.58419948125253907</v>
      </c>
      <c r="P53" s="30">
        <f>SUM(K53:O53)/5</f>
        <v>-0.33434022506579064</v>
      </c>
    </row>
    <row r="54" spans="1:16">
      <c r="B54" t="s">
        <v>174</v>
      </c>
      <c r="C54" s="23">
        <f t="shared" ref="C54:G55" si="5">C37-$H$40</f>
        <v>-2.857970923973896</v>
      </c>
      <c r="D54" s="21">
        <f t="shared" si="5"/>
        <v>-1.4716765628540056</v>
      </c>
      <c r="E54" s="21">
        <f t="shared" si="5"/>
        <v>-1.9889330769502864</v>
      </c>
      <c r="F54" s="21">
        <f t="shared" si="5"/>
        <v>0.91832046792012534</v>
      </c>
      <c r="G54" s="25">
        <f t="shared" si="5"/>
        <v>1.1224293788989872</v>
      </c>
      <c r="H54" s="30">
        <f>SUM(C54:G54)/5</f>
        <v>-0.85556614339181514</v>
      </c>
      <c r="J54" t="s">
        <v>174</v>
      </c>
      <c r="K54" s="23">
        <f t="shared" ref="K54:O55" si="6">K37-$P$40</f>
        <v>-3.5286384604189793</v>
      </c>
      <c r="L54" s="21">
        <f t="shared" si="6"/>
        <v>-1.3885722969227086</v>
      </c>
      <c r="M54" s="21">
        <f t="shared" si="6"/>
        <v>-1.2260533674249339</v>
      </c>
      <c r="N54" s="21">
        <f t="shared" si="6"/>
        <v>0.84080939204804217</v>
      </c>
      <c r="O54" s="25">
        <f t="shared" si="6"/>
        <v>-0.69542511636276316</v>
      </c>
      <c r="P54" s="30">
        <f>SUM(K54:O54)/5</f>
        <v>-1.1995759698162687</v>
      </c>
    </row>
    <row r="55" spans="1:16">
      <c r="B55" t="s">
        <v>175</v>
      </c>
      <c r="C55" s="24">
        <f t="shared" si="5"/>
        <v>-0.54391342981761337</v>
      </c>
      <c r="D55" s="22">
        <f t="shared" si="5"/>
        <v>1.5846803325164203</v>
      </c>
      <c r="E55" s="22">
        <f t="shared" si="5"/>
        <v>0.99625998271553318</v>
      </c>
      <c r="F55" s="22">
        <f t="shared" si="5"/>
        <v>1.1493622612585748</v>
      </c>
      <c r="G55" s="26">
        <f t="shared" si="5"/>
        <v>6.0333025481649987</v>
      </c>
      <c r="H55" s="30">
        <f>SUM(C55:G55)/5</f>
        <v>1.8439383389675825</v>
      </c>
      <c r="J55" t="s">
        <v>175</v>
      </c>
      <c r="K55" s="24">
        <f t="shared" si="6"/>
        <v>-0.63826670252281481</v>
      </c>
      <c r="L55" s="22">
        <f t="shared" si="6"/>
        <v>1.4685738133451354</v>
      </c>
      <c r="M55" s="22">
        <f t="shared" si="6"/>
        <v>2.227103753167933</v>
      </c>
      <c r="N55" s="22">
        <f t="shared" si="6"/>
        <v>2.6978982088684864</v>
      </c>
      <c r="O55" s="26">
        <f t="shared" si="6"/>
        <v>3.9749267662341454</v>
      </c>
      <c r="P55" s="30">
        <f>SUM(K55:O55)/5</f>
        <v>1.9460471678185769</v>
      </c>
    </row>
    <row r="56" spans="1:16">
      <c r="A56" t="s">
        <v>184</v>
      </c>
      <c r="C56">
        <f>SUM(C51:C55)/5</f>
        <v>-0.8478198577478272</v>
      </c>
      <c r="D56">
        <f>SUM(D51:D55)/5</f>
        <v>-4.3768739941277168E-2</v>
      </c>
      <c r="E56">
        <f>SUM(E51:E55)/5</f>
        <v>-0.553232669367406</v>
      </c>
      <c r="F56">
        <f>SUM(F51:F55)/5</f>
        <v>-0.60720188912904438</v>
      </c>
      <c r="G56">
        <f>SUM(G51:G55)/5</f>
        <v>2.0520231561855624</v>
      </c>
      <c r="J56" t="s">
        <v>187</v>
      </c>
      <c r="K56">
        <f>SUM(K51:K55)/5</f>
        <v>-1.7818552254334743</v>
      </c>
      <c r="L56">
        <f>SUM(L51:L55)/5</f>
        <v>0.20678133271967231</v>
      </c>
      <c r="M56">
        <f>SUM(M51:M55)/5</f>
        <v>0.55911200743210232</v>
      </c>
      <c r="N56">
        <f>SUM(N51:N55)/5</f>
        <v>0.51186934152595032</v>
      </c>
      <c r="O56">
        <f>SUM(O51:O55)/5</f>
        <v>0.50409254375574619</v>
      </c>
    </row>
    <row r="67" spans="1:23">
      <c r="A67">
        <v>1990</v>
      </c>
    </row>
    <row r="68" spans="1:23">
      <c r="B68" s="20" t="s">
        <v>178</v>
      </c>
      <c r="J68" s="20" t="s">
        <v>179</v>
      </c>
      <c r="R68" s="20" t="s">
        <v>189</v>
      </c>
    </row>
    <row r="69" spans="1:23">
      <c r="D69" s="20" t="s">
        <v>177</v>
      </c>
      <c r="L69" s="20" t="s">
        <v>177</v>
      </c>
      <c r="T69" s="20" t="s">
        <v>177</v>
      </c>
    </row>
    <row r="70" spans="1:23">
      <c r="C70" t="s">
        <v>171</v>
      </c>
      <c r="D70" t="s">
        <v>172</v>
      </c>
      <c r="E70" t="s">
        <v>173</v>
      </c>
      <c r="F70" t="s">
        <v>174</v>
      </c>
      <c r="G70" t="s">
        <v>175</v>
      </c>
      <c r="K70" t="s">
        <v>171</v>
      </c>
      <c r="L70" t="s">
        <v>172</v>
      </c>
      <c r="M70" t="s">
        <v>173</v>
      </c>
      <c r="N70" t="s">
        <v>174</v>
      </c>
      <c r="O70" t="s">
        <v>175</v>
      </c>
      <c r="S70" t="s">
        <v>171</v>
      </c>
      <c r="T70" t="s">
        <v>172</v>
      </c>
      <c r="U70" t="s">
        <v>173</v>
      </c>
      <c r="V70" t="s">
        <v>174</v>
      </c>
      <c r="W70" t="s">
        <v>175</v>
      </c>
    </row>
    <row r="71" spans="1:23">
      <c r="B71" t="s">
        <v>171</v>
      </c>
      <c r="C71" s="27">
        <f t="shared" ref="C71:G73" si="7">C51-$H51-C$56</f>
        <v>4.3086527799634693</v>
      </c>
      <c r="D71" s="28">
        <f t="shared" si="7"/>
        <v>-1.1971289642692908</v>
      </c>
      <c r="E71" s="28">
        <f t="shared" si="7"/>
        <v>-0.68766503484316199</v>
      </c>
      <c r="F71" s="28">
        <f t="shared" si="7"/>
        <v>-1.1353889552842418</v>
      </c>
      <c r="G71" s="29">
        <f t="shared" si="7"/>
        <v>-1.2884698255667826</v>
      </c>
      <c r="H71" s="30"/>
      <c r="J71" t="s">
        <v>171</v>
      </c>
      <c r="K71" s="27">
        <f t="shared" ref="K71:O73" si="8">K51-$P51-K$56</f>
        <v>2.9530634280507826</v>
      </c>
      <c r="L71" s="28">
        <f t="shared" si="8"/>
        <v>-1.2155559010040775</v>
      </c>
      <c r="M71" s="28">
        <f t="shared" si="8"/>
        <v>-0.73163855151588919</v>
      </c>
      <c r="N71" s="28">
        <f t="shared" si="8"/>
        <v>-0.4092925953648161</v>
      </c>
      <c r="O71" s="29">
        <f t="shared" si="8"/>
        <v>-0.59657638016599668</v>
      </c>
      <c r="R71" t="s">
        <v>171</v>
      </c>
      <c r="S71" s="21">
        <f t="shared" ref="S71:W75" si="9">K71-C71</f>
        <v>-1.3555893519126867</v>
      </c>
      <c r="T71" s="21">
        <f t="shared" si="9"/>
        <v>-1.8426936734786681E-2</v>
      </c>
      <c r="U71" s="21">
        <f t="shared" si="9"/>
        <v>-4.3973516672727198E-2</v>
      </c>
      <c r="V71" s="21">
        <f t="shared" si="9"/>
        <v>0.72609635991942567</v>
      </c>
      <c r="W71" s="21">
        <f t="shared" si="9"/>
        <v>0.6918934454007859</v>
      </c>
    </row>
    <row r="72" spans="1:23">
      <c r="B72" t="s">
        <v>172</v>
      </c>
      <c r="C72" s="23">
        <f t="shared" si="7"/>
        <v>-1.2807469576945998</v>
      </c>
      <c r="D72" s="21">
        <f t="shared" si="7"/>
        <v>2.6749877984602213</v>
      </c>
      <c r="E72" s="21">
        <f t="shared" si="7"/>
        <v>-0.54074371617184214</v>
      </c>
      <c r="F72" s="21">
        <f t="shared" si="7"/>
        <v>-0.60973620754503932</v>
      </c>
      <c r="G72" s="25">
        <f t="shared" si="7"/>
        <v>-0.24376091704874714</v>
      </c>
      <c r="H72" s="30"/>
      <c r="J72" t="s">
        <v>172</v>
      </c>
      <c r="K72" s="23">
        <f t="shared" si="8"/>
        <v>-1.9827139772819669</v>
      </c>
      <c r="L72" s="21">
        <f t="shared" si="8"/>
        <v>2.8062960582000036</v>
      </c>
      <c r="M72" s="21">
        <f t="shared" si="8"/>
        <v>-0.13402646812111813</v>
      </c>
      <c r="N72" s="21">
        <f t="shared" si="8"/>
        <v>-0.51523842854782886</v>
      </c>
      <c r="O72" s="25">
        <f t="shared" si="8"/>
        <v>-0.17431718424908677</v>
      </c>
      <c r="R72" t="s">
        <v>172</v>
      </c>
      <c r="S72" s="21">
        <f t="shared" si="9"/>
        <v>-0.70196701958736707</v>
      </c>
      <c r="T72" s="21">
        <f t="shared" si="9"/>
        <v>0.13130825973978233</v>
      </c>
      <c r="U72" s="21">
        <f t="shared" si="9"/>
        <v>0.40671724805072401</v>
      </c>
      <c r="V72" s="21">
        <f t="shared" si="9"/>
        <v>9.4497778997210458E-2</v>
      </c>
      <c r="W72" s="21">
        <f t="shared" si="9"/>
        <v>6.9443732799660374E-2</v>
      </c>
    </row>
    <row r="73" spans="1:23">
      <c r="A73" s="20" t="s">
        <v>176</v>
      </c>
      <c r="B73" t="s">
        <v>173</v>
      </c>
      <c r="C73" s="23">
        <f t="shared" si="7"/>
        <v>-0.3332889883972544</v>
      </c>
      <c r="D73" s="21">
        <f t="shared" si="7"/>
        <v>-0.69002788816013949</v>
      </c>
      <c r="E73" s="21">
        <f t="shared" si="7"/>
        <v>2.1029887020907054</v>
      </c>
      <c r="F73" s="21">
        <f t="shared" si="7"/>
        <v>-0.54858914903174771</v>
      </c>
      <c r="G73" s="25">
        <f t="shared" si="7"/>
        <v>-0.53108267650157126</v>
      </c>
      <c r="H73" s="30"/>
      <c r="I73" s="20" t="s">
        <v>176</v>
      </c>
      <c r="J73" t="s">
        <v>173</v>
      </c>
      <c r="K73" s="23">
        <f t="shared" si="8"/>
        <v>0.37931645930834046</v>
      </c>
      <c r="L73" s="21">
        <f t="shared" si="8"/>
        <v>-0.51070781017669642</v>
      </c>
      <c r="M73" s="21">
        <f t="shared" si="8"/>
        <v>1.7293098467605246</v>
      </c>
      <c r="N73" s="21">
        <f t="shared" si="8"/>
        <v>-0.84396669594967089</v>
      </c>
      <c r="O73" s="25">
        <f t="shared" si="8"/>
        <v>-0.75395179994249462</v>
      </c>
      <c r="Q73" s="20" t="s">
        <v>176</v>
      </c>
      <c r="R73" t="s">
        <v>173</v>
      </c>
      <c r="S73" s="21">
        <f t="shared" si="9"/>
        <v>0.71260544770559486</v>
      </c>
      <c r="T73" s="21">
        <f t="shared" si="9"/>
        <v>0.17932007798344307</v>
      </c>
      <c r="U73" s="21">
        <f t="shared" si="9"/>
        <v>-0.37367885533018086</v>
      </c>
      <c r="V73" s="21">
        <f t="shared" si="9"/>
        <v>-0.29537754691792317</v>
      </c>
      <c r="W73" s="21">
        <f t="shared" si="9"/>
        <v>-0.22286912344092336</v>
      </c>
    </row>
    <row r="74" spans="1:23">
      <c r="B74" t="s">
        <v>174</v>
      </c>
      <c r="C74" s="23">
        <f t="shared" ref="C74:G75" si="10">C54-$H54-C$56</f>
        <v>-1.1545849228342537</v>
      </c>
      <c r="D74" s="21">
        <f t="shared" si="10"/>
        <v>-0.5723416795209133</v>
      </c>
      <c r="E74" s="21">
        <f t="shared" si="10"/>
        <v>-0.58013426419106529</v>
      </c>
      <c r="F74" s="21">
        <f t="shared" si="10"/>
        <v>2.3810885004409847</v>
      </c>
      <c r="G74" s="25">
        <f t="shared" si="10"/>
        <v>-7.4027633894760081E-2</v>
      </c>
      <c r="H74" s="30"/>
      <c r="J74" t="s">
        <v>174</v>
      </c>
      <c r="K74" s="23">
        <f t="shared" ref="K74:O75" si="11">K54-$P54-K$56</f>
        <v>-0.54720726516923657</v>
      </c>
      <c r="L74" s="21">
        <f t="shared" si="11"/>
        <v>-0.39577765982611218</v>
      </c>
      <c r="M74" s="21">
        <f t="shared" si="11"/>
        <v>-0.58558940504076751</v>
      </c>
      <c r="N74" s="21">
        <f t="shared" si="11"/>
        <v>1.5285160203383603</v>
      </c>
      <c r="O74" s="25">
        <f t="shared" si="11"/>
        <v>5.8309697759328927E-5</v>
      </c>
      <c r="R74" t="s">
        <v>174</v>
      </c>
      <c r="S74" s="21">
        <f t="shared" si="9"/>
        <v>0.60737765766501717</v>
      </c>
      <c r="T74" s="21">
        <f t="shared" si="9"/>
        <v>0.17656401969480112</v>
      </c>
      <c r="U74" s="21">
        <f t="shared" si="9"/>
        <v>-5.4551408497022225E-3</v>
      </c>
      <c r="V74" s="21">
        <f t="shared" si="9"/>
        <v>-0.85257248010262443</v>
      </c>
      <c r="W74" s="21">
        <f t="shared" si="9"/>
        <v>7.408594359251941E-2</v>
      </c>
    </row>
    <row r="75" spans="1:23">
      <c r="B75" t="s">
        <v>175</v>
      </c>
      <c r="C75" s="24">
        <f t="shared" si="10"/>
        <v>-1.5400319110373686</v>
      </c>
      <c r="D75" s="22">
        <f t="shared" si="10"/>
        <v>-0.21548926650988509</v>
      </c>
      <c r="E75" s="22">
        <f t="shared" si="10"/>
        <v>-0.29444568688464334</v>
      </c>
      <c r="F75" s="22">
        <f t="shared" si="10"/>
        <v>-8.7374188579963374E-2</v>
      </c>
      <c r="G75" s="26">
        <f t="shared" si="10"/>
        <v>2.1373410530118537</v>
      </c>
      <c r="H75" s="30"/>
      <c r="J75" t="s">
        <v>175</v>
      </c>
      <c r="K75" s="24">
        <f t="shared" si="11"/>
        <v>-0.80245864490791741</v>
      </c>
      <c r="L75" s="22">
        <f t="shared" si="11"/>
        <v>-0.68425468719311389</v>
      </c>
      <c r="M75" s="22">
        <f t="shared" si="11"/>
        <v>-0.27805542208274625</v>
      </c>
      <c r="N75" s="22">
        <f t="shared" si="11"/>
        <v>0.2399816995239592</v>
      </c>
      <c r="O75" s="26">
        <f t="shared" si="11"/>
        <v>1.5247870546598223</v>
      </c>
      <c r="R75" t="s">
        <v>175</v>
      </c>
      <c r="S75" s="21">
        <f t="shared" si="9"/>
        <v>0.73757326612945118</v>
      </c>
      <c r="T75" s="21">
        <f t="shared" si="9"/>
        <v>-0.4687654206832288</v>
      </c>
      <c r="U75" s="21">
        <f t="shared" si="9"/>
        <v>1.6390264801897092E-2</v>
      </c>
      <c r="V75" s="21">
        <f t="shared" si="9"/>
        <v>0.32735588810392258</v>
      </c>
      <c r="W75" s="21">
        <f t="shared" si="9"/>
        <v>-0.61255399835203139</v>
      </c>
    </row>
  </sheetData>
  <phoneticPr fontId="4" type="noConversion"/>
  <pageMargins left="0.75" right="0.75" top="1" bottom="1" header="0.5" footer="0.5"/>
  <pageSetup orientation="portrait" horizontalDpi="0" verticalDpi="0"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G52"/>
  <sheetViews>
    <sheetView topLeftCell="A34" workbookViewId="0">
      <selection activeCell="K13" sqref="K13"/>
    </sheetView>
  </sheetViews>
  <sheetFormatPr defaultRowHeight="11.4"/>
  <sheetData>
    <row r="9" spans="1:7">
      <c r="B9" t="s">
        <v>219</v>
      </c>
      <c r="C9" t="s">
        <v>220</v>
      </c>
      <c r="D9" t="s">
        <v>221</v>
      </c>
      <c r="E9" t="s">
        <v>222</v>
      </c>
    </row>
    <row r="10" spans="1:7">
      <c r="B10" t="s">
        <v>216</v>
      </c>
      <c r="C10">
        <v>1980</v>
      </c>
      <c r="D10">
        <v>1990</v>
      </c>
      <c r="E10">
        <v>1970</v>
      </c>
      <c r="F10">
        <v>1980</v>
      </c>
      <c r="G10">
        <v>1990</v>
      </c>
    </row>
    <row r="11" spans="1:7">
      <c r="A11" t="s">
        <v>126</v>
      </c>
      <c r="B11">
        <v>7.7329999999999997</v>
      </c>
      <c r="C11">
        <f>-0.616</f>
        <v>-0.61599999999999999</v>
      </c>
      <c r="D11">
        <v>-1.393</v>
      </c>
      <c r="E11">
        <f>B11</f>
        <v>7.7329999999999997</v>
      </c>
      <c r="F11">
        <f>B11+C11</f>
        <v>7.117</v>
      </c>
      <c r="G11">
        <f>B11+D11</f>
        <v>6.34</v>
      </c>
    </row>
    <row r="12" spans="1:7">
      <c r="A12" t="s">
        <v>172</v>
      </c>
      <c r="B12">
        <v>3.625</v>
      </c>
      <c r="C12">
        <v>-0.23200000000000001</v>
      </c>
      <c r="D12">
        <v>-0.52900000000000003</v>
      </c>
      <c r="E12">
        <f>B12</f>
        <v>3.625</v>
      </c>
      <c r="F12">
        <f>B12+C12</f>
        <v>3.3929999999999998</v>
      </c>
      <c r="G12">
        <f>B12+D12</f>
        <v>3.0960000000000001</v>
      </c>
    </row>
    <row r="13" spans="1:7">
      <c r="A13" t="s">
        <v>217</v>
      </c>
      <c r="B13">
        <v>3.2029999999999998</v>
      </c>
      <c r="C13">
        <v>-0.72299999999999998</v>
      </c>
      <c r="D13">
        <v>-0.59699999999999998</v>
      </c>
      <c r="E13">
        <f>B13</f>
        <v>3.2029999999999998</v>
      </c>
      <c r="F13">
        <f>B13+C13</f>
        <v>2.48</v>
      </c>
      <c r="G13">
        <f>B13+D13</f>
        <v>2.6059999999999999</v>
      </c>
    </row>
    <row r="14" spans="1:7">
      <c r="A14" t="s">
        <v>218</v>
      </c>
      <c r="B14">
        <v>3.1859999999999999</v>
      </c>
      <c r="C14">
        <v>-1.0289999999999999</v>
      </c>
      <c r="D14">
        <v>-1.1850000000000001</v>
      </c>
      <c r="E14">
        <f>B14</f>
        <v>3.1859999999999999</v>
      </c>
      <c r="F14">
        <f>B14+C14</f>
        <v>2.157</v>
      </c>
      <c r="G14">
        <f>B14+D14</f>
        <v>2.0009999999999999</v>
      </c>
    </row>
    <row r="15" spans="1:7">
      <c r="A15" t="s">
        <v>125</v>
      </c>
      <c r="B15">
        <v>3.1360000000000001</v>
      </c>
      <c r="C15">
        <v>-0.58299999999999996</v>
      </c>
      <c r="D15">
        <v>-0.83899999999999997</v>
      </c>
      <c r="E15">
        <v>3.1360000000000001</v>
      </c>
      <c r="F15">
        <f>B15+C15</f>
        <v>2.5529999999999999</v>
      </c>
      <c r="G15">
        <f>B15+D15</f>
        <v>2.2970000000000002</v>
      </c>
    </row>
    <row r="45" spans="1:7">
      <c r="B45" t="s">
        <v>223</v>
      </c>
    </row>
    <row r="46" spans="1:7">
      <c r="B46" t="s">
        <v>224</v>
      </c>
      <c r="C46" t="s">
        <v>225</v>
      </c>
      <c r="E46" t="s">
        <v>222</v>
      </c>
    </row>
    <row r="47" spans="1:7">
      <c r="C47" t="s">
        <v>226</v>
      </c>
      <c r="E47">
        <v>1970</v>
      </c>
      <c r="F47">
        <v>1980</v>
      </c>
      <c r="G47">
        <v>1990</v>
      </c>
    </row>
    <row r="48" spans="1:7">
      <c r="A48" t="s">
        <v>126</v>
      </c>
      <c r="B48">
        <v>13.000999999999999</v>
      </c>
      <c r="C48">
        <v>-7.3999999999999996E-2</v>
      </c>
      <c r="E48">
        <f>B48+(C48*70)</f>
        <v>7.8209999999999997</v>
      </c>
      <c r="F48">
        <f>B48+(C48*80)</f>
        <v>7.0809999999999995</v>
      </c>
      <c r="G48">
        <f>B48+(C48*90)</f>
        <v>6.3410000000000002</v>
      </c>
    </row>
    <row r="49" spans="1:7">
      <c r="A49" t="s">
        <v>172</v>
      </c>
      <c r="B49">
        <v>5.5410000000000004</v>
      </c>
      <c r="C49">
        <v>-2.7E-2</v>
      </c>
      <c r="E49">
        <f>B49+(C49*70)</f>
        <v>3.6510000000000007</v>
      </c>
      <c r="F49">
        <f>B49+(C49*80)</f>
        <v>3.3810000000000002</v>
      </c>
      <c r="G49">
        <f>B49+(C49*90)</f>
        <v>3.1110000000000002</v>
      </c>
    </row>
    <row r="50" spans="1:7">
      <c r="A50" t="s">
        <v>217</v>
      </c>
      <c r="B50">
        <v>3.9449999999999998</v>
      </c>
      <c r="C50">
        <v>-1.6E-2</v>
      </c>
      <c r="E50">
        <f>B50+(C50*70)</f>
        <v>2.8249999999999997</v>
      </c>
      <c r="F50">
        <f>B50+(C50*80)</f>
        <v>2.665</v>
      </c>
      <c r="G50">
        <f>B50+(C50*90)</f>
        <v>2.5049999999999999</v>
      </c>
    </row>
    <row r="51" spans="1:7">
      <c r="A51" t="s">
        <v>218</v>
      </c>
      <c r="B51">
        <v>4.9969999999999999</v>
      </c>
      <c r="C51">
        <v>-3.4000000000000002E-2</v>
      </c>
      <c r="E51">
        <f>B51+(C51*70)</f>
        <v>2.6169999999999995</v>
      </c>
      <c r="F51">
        <f>B51+(C51*80)</f>
        <v>2.2769999999999997</v>
      </c>
      <c r="G51">
        <f>B51+(C51*90)</f>
        <v>1.9369999999999998</v>
      </c>
    </row>
    <row r="52" spans="1:7">
      <c r="A52" t="s">
        <v>125</v>
      </c>
      <c r="B52">
        <v>5.2770000000000001</v>
      </c>
      <c r="C52">
        <v>-3.3000000000000002E-2</v>
      </c>
      <c r="E52">
        <f>B52+(C52*70)</f>
        <v>2.9670000000000001</v>
      </c>
      <c r="F52">
        <f>B52+(C52*80)</f>
        <v>2.637</v>
      </c>
      <c r="G52">
        <f>B52+(C52*90)</f>
        <v>2.3069999999999999</v>
      </c>
    </row>
  </sheetData>
  <phoneticPr fontId="4" type="noConversion"/>
  <pageMargins left="0.75" right="0.75" top="1" bottom="1" header="0.5" footer="0.5"/>
  <headerFooter alignWithMargins="0"/>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I1" workbookViewId="0">
      <selection activeCell="W11" sqref="W11"/>
    </sheetView>
  </sheetViews>
  <sheetFormatPr defaultRowHeight="11.4"/>
  <sheetData/>
  <phoneticPr fontId="4" type="noConversion"/>
  <pageMargins left="0.75" right="0.75" top="1" bottom="1" header="0.5" footer="0.5"/>
  <pageSetup orientation="portrait" horizontalDpi="0" verticalDpi="0"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34"/>
  <sheetViews>
    <sheetView topLeftCell="C34" workbookViewId="0">
      <selection activeCell="P23" sqref="P23"/>
    </sheetView>
  </sheetViews>
  <sheetFormatPr defaultRowHeight="11.4"/>
  <cols>
    <col min="3" max="3" width="15.125" customWidth="1"/>
    <col min="4" max="4" width="12.375" customWidth="1"/>
    <col min="5" max="5" width="11.25" customWidth="1"/>
    <col min="6" max="6" width="10.75" customWidth="1"/>
    <col min="7" max="7" width="13.25" customWidth="1"/>
    <col min="8" max="8" width="13" customWidth="1"/>
    <col min="11" max="11" width="11" customWidth="1"/>
    <col min="13" max="13" width="10.625" customWidth="1"/>
    <col min="14" max="14" width="11.75" customWidth="1"/>
  </cols>
  <sheetData>
    <row r="1" spans="2:15">
      <c r="B1" t="s">
        <v>127</v>
      </c>
    </row>
    <row r="3" spans="2:15">
      <c r="B3" t="s">
        <v>27</v>
      </c>
      <c r="C3" t="s">
        <v>123</v>
      </c>
      <c r="D3" t="s">
        <v>124</v>
      </c>
      <c r="E3" t="s">
        <v>212</v>
      </c>
    </row>
    <row r="4" spans="2:15">
      <c r="B4">
        <v>19</v>
      </c>
      <c r="C4" t="s">
        <v>125</v>
      </c>
      <c r="D4" t="s">
        <v>125</v>
      </c>
      <c r="E4">
        <v>1</v>
      </c>
    </row>
    <row r="5" spans="2:15">
      <c r="B5">
        <v>0</v>
      </c>
      <c r="C5" t="s">
        <v>125</v>
      </c>
      <c r="D5" t="s">
        <v>126</v>
      </c>
      <c r="E5">
        <v>1</v>
      </c>
    </row>
    <row r="6" spans="2:15">
      <c r="B6">
        <v>11</v>
      </c>
      <c r="C6" t="s">
        <v>126</v>
      </c>
      <c r="D6" t="s">
        <v>125</v>
      </c>
      <c r="E6">
        <v>1</v>
      </c>
    </row>
    <row r="7" spans="2:15">
      <c r="B7">
        <v>6</v>
      </c>
      <c r="C7" t="s">
        <v>126</v>
      </c>
      <c r="D7" t="s">
        <v>126</v>
      </c>
      <c r="E7">
        <v>1</v>
      </c>
    </row>
    <row r="8" spans="2:15">
      <c r="B8">
        <v>132</v>
      </c>
      <c r="C8" t="s">
        <v>125</v>
      </c>
      <c r="D8" t="s">
        <v>125</v>
      </c>
      <c r="E8">
        <v>0</v>
      </c>
    </row>
    <row r="9" spans="2:15">
      <c r="B9">
        <v>9</v>
      </c>
      <c r="C9" t="s">
        <v>125</v>
      </c>
      <c r="D9" t="s">
        <v>126</v>
      </c>
      <c r="E9">
        <v>0</v>
      </c>
    </row>
    <row r="10" spans="2:15">
      <c r="B10">
        <v>52</v>
      </c>
      <c r="C10" t="s">
        <v>126</v>
      </c>
      <c r="D10" t="s">
        <v>125</v>
      </c>
      <c r="E10">
        <v>0</v>
      </c>
    </row>
    <row r="11" spans="2:15">
      <c r="B11">
        <v>97</v>
      </c>
      <c r="C11" t="s">
        <v>126</v>
      </c>
      <c r="D11" t="s">
        <v>126</v>
      </c>
      <c r="E11">
        <v>0</v>
      </c>
    </row>
    <row r="13" spans="2:15">
      <c r="F13" t="s">
        <v>61</v>
      </c>
      <c r="G13">
        <v>326</v>
      </c>
    </row>
    <row r="14" spans="2:15">
      <c r="C14" t="s">
        <v>128</v>
      </c>
      <c r="K14" t="s">
        <v>136</v>
      </c>
    </row>
    <row r="16" spans="2:15" s="15" customFormat="1">
      <c r="D16" s="16" t="s">
        <v>130</v>
      </c>
      <c r="E16" s="16" t="s">
        <v>134</v>
      </c>
      <c r="F16" s="16" t="s">
        <v>131</v>
      </c>
      <c r="G16" s="16" t="s">
        <v>46</v>
      </c>
      <c r="H16" s="16" t="s">
        <v>132</v>
      </c>
      <c r="I16" s="16" t="s">
        <v>60</v>
      </c>
      <c r="K16" s="17" t="s">
        <v>143</v>
      </c>
      <c r="L16" s="16" t="s">
        <v>144</v>
      </c>
      <c r="M16" s="16" t="s">
        <v>131</v>
      </c>
      <c r="N16" s="15" t="s">
        <v>130</v>
      </c>
      <c r="O16" s="15" t="s">
        <v>213</v>
      </c>
    </row>
    <row r="17" spans="3:15">
      <c r="C17" s="11" t="s">
        <v>129</v>
      </c>
      <c r="D17">
        <v>-215.8</v>
      </c>
      <c r="E17">
        <f t="shared" ref="E17:E25" si="0">-2*D17</f>
        <v>431.6</v>
      </c>
      <c r="F17">
        <v>1</v>
      </c>
      <c r="G17">
        <v>7</v>
      </c>
      <c r="H17">
        <v>395.9</v>
      </c>
      <c r="I17" s="3">
        <f t="shared" ref="I17:I23" si="1">H17-(G17*LN(G$13))</f>
        <v>355.39171833043304</v>
      </c>
      <c r="K17" t="s">
        <v>137</v>
      </c>
      <c r="L17" s="9"/>
      <c r="M17" s="9"/>
    </row>
    <row r="18" spans="3:15">
      <c r="C18" s="11" t="s">
        <v>135</v>
      </c>
      <c r="D18">
        <v>-103.1</v>
      </c>
      <c r="E18">
        <f t="shared" si="0"/>
        <v>206.2</v>
      </c>
      <c r="F18">
        <v>2</v>
      </c>
      <c r="G18">
        <v>6</v>
      </c>
      <c r="H18">
        <v>170.5</v>
      </c>
      <c r="I18" s="3">
        <f t="shared" si="1"/>
        <v>135.77861571179974</v>
      </c>
      <c r="K18" t="s">
        <v>138</v>
      </c>
      <c r="L18" s="9" t="s">
        <v>6</v>
      </c>
      <c r="M18" s="9">
        <v>1</v>
      </c>
      <c r="N18">
        <v>-113.2564</v>
      </c>
      <c r="O18">
        <f>N18*-2</f>
        <v>226.5128</v>
      </c>
    </row>
    <row r="19" spans="3:15">
      <c r="C19" s="11" t="s">
        <v>133</v>
      </c>
      <c r="D19">
        <v>-86.8</v>
      </c>
      <c r="E19">
        <f t="shared" si="0"/>
        <v>173.6</v>
      </c>
      <c r="F19">
        <v>4</v>
      </c>
      <c r="G19">
        <v>4</v>
      </c>
      <c r="H19">
        <v>137.9</v>
      </c>
      <c r="I19" s="3">
        <f t="shared" si="1"/>
        <v>114.75241047453318</v>
      </c>
      <c r="K19" t="s">
        <v>137</v>
      </c>
      <c r="L19" s="9"/>
      <c r="M19" s="9"/>
    </row>
    <row r="20" spans="3:15">
      <c r="C20" s="11" t="s">
        <v>214</v>
      </c>
      <c r="D20">
        <v>-83.74</v>
      </c>
      <c r="E20">
        <f t="shared" si="0"/>
        <v>167.48</v>
      </c>
      <c r="F20">
        <v>4</v>
      </c>
      <c r="G20">
        <v>4</v>
      </c>
      <c r="H20">
        <v>131.80000000000001</v>
      </c>
      <c r="I20" s="3">
        <f t="shared" si="1"/>
        <v>108.65241047453318</v>
      </c>
      <c r="K20" t="s">
        <v>215</v>
      </c>
      <c r="L20" s="9" t="s">
        <v>6</v>
      </c>
      <c r="M20" s="9">
        <v>2</v>
      </c>
      <c r="N20">
        <v>-110.1</v>
      </c>
      <c r="O20">
        <f>N20*-2</f>
        <v>220.2</v>
      </c>
    </row>
    <row r="21" spans="3:15">
      <c r="C21" s="11" t="s">
        <v>139</v>
      </c>
      <c r="D21">
        <v>-83.6</v>
      </c>
      <c r="E21">
        <f t="shared" si="0"/>
        <v>167.2</v>
      </c>
      <c r="F21">
        <v>6</v>
      </c>
      <c r="G21">
        <v>2</v>
      </c>
      <c r="H21">
        <v>131.5</v>
      </c>
      <c r="I21" s="3">
        <f t="shared" si="1"/>
        <v>119.92620523726659</v>
      </c>
      <c r="K21" t="s">
        <v>137</v>
      </c>
      <c r="L21" s="9"/>
      <c r="M21" s="9"/>
    </row>
    <row r="22" spans="3:15" s="13" customFormat="1" ht="12">
      <c r="C22" s="12" t="s">
        <v>140</v>
      </c>
      <c r="D22" s="13">
        <v>-21.9</v>
      </c>
      <c r="E22" s="13">
        <f t="shared" si="0"/>
        <v>43.8</v>
      </c>
      <c r="F22" s="13">
        <v>5</v>
      </c>
      <c r="G22" s="13">
        <v>3</v>
      </c>
      <c r="H22" s="13">
        <v>8.1300000000000008</v>
      </c>
      <c r="I22" s="14">
        <f t="shared" si="1"/>
        <v>-9.2306921441001233</v>
      </c>
      <c r="K22" s="13" t="s">
        <v>137</v>
      </c>
      <c r="L22" s="18"/>
      <c r="M22" s="18"/>
    </row>
    <row r="23" spans="3:15">
      <c r="C23" s="11" t="s">
        <v>141</v>
      </c>
      <c r="D23">
        <v>-18.8</v>
      </c>
      <c r="E23">
        <f t="shared" si="0"/>
        <v>37.6</v>
      </c>
      <c r="F23">
        <v>6</v>
      </c>
      <c r="G23">
        <v>2</v>
      </c>
      <c r="H23">
        <v>1.9</v>
      </c>
      <c r="I23" s="3">
        <f t="shared" si="1"/>
        <v>-9.6737947627334151</v>
      </c>
      <c r="K23" t="s">
        <v>137</v>
      </c>
      <c r="L23" s="9"/>
      <c r="M23" s="9"/>
    </row>
    <row r="24" spans="3:15">
      <c r="C24" s="11" t="s">
        <v>146</v>
      </c>
      <c r="D24">
        <v>-18.2</v>
      </c>
      <c r="E24">
        <f>-2*D24</f>
        <v>36.4</v>
      </c>
      <c r="F24">
        <v>7</v>
      </c>
      <c r="G24">
        <v>1</v>
      </c>
      <c r="H24">
        <v>0.7</v>
      </c>
      <c r="I24" s="3">
        <f>H24-(G24*LN(G$13))</f>
        <v>-5.0868973813667075</v>
      </c>
      <c r="K24" t="s">
        <v>145</v>
      </c>
      <c r="L24" s="9" t="s">
        <v>6</v>
      </c>
      <c r="M24" s="9">
        <v>3</v>
      </c>
      <c r="N24">
        <v>-109.541</v>
      </c>
      <c r="O24">
        <f>N24*-2</f>
        <v>219.08199999999999</v>
      </c>
    </row>
    <row r="25" spans="3:15">
      <c r="C25" s="11" t="s">
        <v>147</v>
      </c>
      <c r="D25">
        <v>-17.8</v>
      </c>
      <c r="E25">
        <f t="shared" si="0"/>
        <v>35.6</v>
      </c>
      <c r="F25">
        <v>8</v>
      </c>
      <c r="G25">
        <v>0</v>
      </c>
      <c r="I25" s="3"/>
      <c r="K25" t="s">
        <v>142</v>
      </c>
      <c r="L25" s="9" t="s">
        <v>6</v>
      </c>
      <c r="M25" s="9">
        <v>4</v>
      </c>
      <c r="N25" s="9">
        <v>-109.19</v>
      </c>
      <c r="O25">
        <f>N25*-2</f>
        <v>218.38</v>
      </c>
    </row>
    <row r="26" spans="3:15">
      <c r="C26" s="9"/>
      <c r="I26" s="3"/>
    </row>
    <row r="27" spans="3:15">
      <c r="C27" s="9"/>
      <c r="I27" s="3"/>
    </row>
    <row r="28" spans="3:15">
      <c r="C28" s="9"/>
      <c r="I28" s="3"/>
    </row>
    <row r="29" spans="3:15">
      <c r="C29" s="10"/>
      <c r="I29" s="3"/>
    </row>
    <row r="30" spans="3:15">
      <c r="C30" s="9"/>
    </row>
    <row r="31" spans="3:15">
      <c r="D31" s="9"/>
      <c r="E31" s="9"/>
      <c r="F31" s="9"/>
      <c r="G31" s="9"/>
      <c r="H31" s="9"/>
      <c r="I31" s="9"/>
    </row>
    <row r="32" spans="3:15">
      <c r="C32" s="9"/>
      <c r="I32" s="3"/>
    </row>
    <row r="33" spans="3:9">
      <c r="I33" s="3"/>
    </row>
    <row r="34" spans="3:9">
      <c r="C34" s="9"/>
      <c r="I34" s="3"/>
    </row>
  </sheetData>
  <phoneticPr fontId="4" type="noConversion"/>
  <pageMargins left="0.75" right="0.75" top="1" bottom="1" header="0.5" footer="0.5"/>
  <pageSetup orientation="portrait" r:id="rId1"/>
  <headerFooter alignWithMargins="0"/>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1:O113"/>
  <sheetViews>
    <sheetView workbookViewId="0">
      <selection activeCell="L148" sqref="L148"/>
    </sheetView>
  </sheetViews>
  <sheetFormatPr defaultRowHeight="11.4"/>
  <sheetData>
    <row r="11" spans="1:12">
      <c r="A11" t="s">
        <v>154</v>
      </c>
      <c r="D11" s="9" t="s">
        <v>153</v>
      </c>
      <c r="E11" s="9"/>
      <c r="F11" s="9"/>
      <c r="G11" s="9"/>
      <c r="H11" s="9"/>
    </row>
    <row r="12" spans="1:12">
      <c r="D12" s="9">
        <v>1</v>
      </c>
      <c r="E12" s="9">
        <v>2</v>
      </c>
      <c r="F12" s="9">
        <v>3</v>
      </c>
      <c r="G12" s="9">
        <v>4</v>
      </c>
      <c r="H12" s="9" t="s">
        <v>152</v>
      </c>
    </row>
    <row r="13" spans="1:12">
      <c r="B13" t="s">
        <v>148</v>
      </c>
      <c r="C13" t="s">
        <v>149</v>
      </c>
      <c r="D13" s="19"/>
      <c r="E13" s="19"/>
    </row>
    <row r="14" spans="1:12">
      <c r="C14" t="s">
        <v>150</v>
      </c>
      <c r="E14">
        <v>-0.59099999999999997</v>
      </c>
      <c r="F14">
        <v>-0.46400000000000002</v>
      </c>
      <c r="G14">
        <v>-0.78800000000000003</v>
      </c>
      <c r="H14">
        <v>-1.593</v>
      </c>
    </row>
    <row r="15" spans="1:12">
      <c r="C15" t="s">
        <v>151</v>
      </c>
      <c r="D15" s="19"/>
      <c r="E15" s="19">
        <v>-0.28499999999999998</v>
      </c>
      <c r="F15">
        <v>-0.58399999999999996</v>
      </c>
      <c r="G15">
        <v>-2.0110000000000001</v>
      </c>
      <c r="H15">
        <v>-0.38</v>
      </c>
      <c r="L15">
        <f>EXP(E15)</f>
        <v>0.75201425431938262</v>
      </c>
    </row>
    <row r="18" spans="1:8">
      <c r="A18" t="s">
        <v>155</v>
      </c>
      <c r="D18" s="9" t="s">
        <v>153</v>
      </c>
      <c r="E18" s="9"/>
      <c r="F18" s="9"/>
      <c r="G18" s="9"/>
      <c r="H18" s="9"/>
    </row>
    <row r="19" spans="1:8">
      <c r="D19" s="9">
        <v>1</v>
      </c>
      <c r="E19" s="9">
        <v>2</v>
      </c>
      <c r="F19" s="9">
        <v>3</v>
      </c>
      <c r="G19" s="9">
        <v>4</v>
      </c>
      <c r="H19" s="9" t="s">
        <v>152</v>
      </c>
    </row>
    <row r="20" spans="1:8">
      <c r="C20" t="s">
        <v>149</v>
      </c>
      <c r="E20">
        <v>0.59099999999999997</v>
      </c>
      <c r="F20">
        <v>0.46400000000000002</v>
      </c>
      <c r="G20">
        <v>0.78800000000000003</v>
      </c>
      <c r="H20">
        <v>1.593</v>
      </c>
    </row>
    <row r="21" spans="1:8">
      <c r="C21" t="s">
        <v>150</v>
      </c>
    </row>
    <row r="22" spans="1:8">
      <c r="C22" t="s">
        <v>151</v>
      </c>
      <c r="E22">
        <v>0.307</v>
      </c>
      <c r="F22">
        <v>-0.12</v>
      </c>
      <c r="G22">
        <v>-1.2230000000000001</v>
      </c>
      <c r="H22">
        <v>1.214</v>
      </c>
    </row>
    <row r="45" spans="3:8">
      <c r="E45" t="s">
        <v>62</v>
      </c>
    </row>
    <row r="47" spans="3:8">
      <c r="E47">
        <v>1</v>
      </c>
      <c r="F47">
        <v>2</v>
      </c>
      <c r="G47">
        <v>3</v>
      </c>
      <c r="H47">
        <v>4</v>
      </c>
    </row>
    <row r="48" spans="3:8">
      <c r="C48" t="s">
        <v>156</v>
      </c>
      <c r="D48">
        <v>1</v>
      </c>
      <c r="E48">
        <v>32016</v>
      </c>
      <c r="F48">
        <v>33374</v>
      </c>
      <c r="G48">
        <v>8407</v>
      </c>
      <c r="H48">
        <v>988</v>
      </c>
    </row>
    <row r="49" spans="4:8">
      <c r="D49">
        <v>2</v>
      </c>
      <c r="E49">
        <v>28370</v>
      </c>
      <c r="F49">
        <v>137876</v>
      </c>
      <c r="G49">
        <v>43783</v>
      </c>
      <c r="H49">
        <v>8446</v>
      </c>
    </row>
    <row r="50" spans="4:8">
      <c r="D50">
        <v>3</v>
      </c>
      <c r="E50">
        <v>7051</v>
      </c>
      <c r="F50">
        <v>48766</v>
      </c>
      <c r="G50">
        <v>61633</v>
      </c>
      <c r="H50">
        <v>18195</v>
      </c>
    </row>
    <row r="51" spans="4:8">
      <c r="D51">
        <v>4</v>
      </c>
      <c r="E51">
        <v>984</v>
      </c>
      <c r="F51">
        <v>13794</v>
      </c>
      <c r="G51">
        <v>28635</v>
      </c>
      <c r="H51">
        <v>51224</v>
      </c>
    </row>
    <row r="113" spans="15:15">
      <c r="O113">
        <f>EXP(2.599)</f>
        <v>13.450281026592313</v>
      </c>
    </row>
  </sheetData>
  <phoneticPr fontId="4" type="noConversion"/>
  <pageMargins left="0.75" right="0.75" top="1" bottom="1" header="0.5" footer="0.5"/>
  <pageSetup orientation="portrait" r:id="rId1"/>
  <headerFooter alignWithMargins="0"/>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I62"/>
  <sheetViews>
    <sheetView topLeftCell="D46" workbookViewId="0">
      <selection activeCell="M12" sqref="M12"/>
    </sheetView>
  </sheetViews>
  <sheetFormatPr defaultRowHeight="11.4"/>
  <cols>
    <col min="2" max="4" width="11" customWidth="1"/>
  </cols>
  <sheetData>
    <row r="4" spans="1:9">
      <c r="A4" t="s">
        <v>161</v>
      </c>
      <c r="C4" t="s">
        <v>67</v>
      </c>
    </row>
    <row r="5" spans="1:9">
      <c r="C5" t="s">
        <v>68</v>
      </c>
      <c r="D5" t="s">
        <v>69</v>
      </c>
    </row>
    <row r="7" spans="1:9">
      <c r="B7" t="s">
        <v>71</v>
      </c>
      <c r="C7">
        <v>23</v>
      </c>
      <c r="D7">
        <v>10</v>
      </c>
    </row>
    <row r="8" spans="1:9">
      <c r="B8" t="s">
        <v>0</v>
      </c>
      <c r="C8">
        <v>27</v>
      </c>
      <c r="D8">
        <v>15</v>
      </c>
      <c r="H8" t="s">
        <v>160</v>
      </c>
      <c r="I8" t="s">
        <v>160</v>
      </c>
    </row>
    <row r="9" spans="1:9">
      <c r="E9" t="s">
        <v>158</v>
      </c>
      <c r="F9" t="s">
        <v>159</v>
      </c>
      <c r="H9" t="s">
        <v>158</v>
      </c>
      <c r="I9" t="s">
        <v>159</v>
      </c>
    </row>
    <row r="10" spans="1:9">
      <c r="B10" t="s">
        <v>29</v>
      </c>
      <c r="C10" t="s">
        <v>23</v>
      </c>
      <c r="D10" t="s">
        <v>31</v>
      </c>
      <c r="E10" t="s">
        <v>157</v>
      </c>
      <c r="F10" t="s">
        <v>157</v>
      </c>
      <c r="H10" t="s">
        <v>157</v>
      </c>
      <c r="I10" t="s">
        <v>157</v>
      </c>
    </row>
    <row r="11" spans="1:9">
      <c r="B11">
        <f>C7*D8/(D7*C8)</f>
        <v>1.2777777777777777</v>
      </c>
      <c r="C11">
        <f>LN(B11)</f>
        <v>0.24512245803298491</v>
      </c>
      <c r="D11">
        <f>SQRT((1/C7)+(1/D7)+(1/C8)+(1/D8))</f>
        <v>0.49717397817390735</v>
      </c>
      <c r="E11">
        <f>EXP(C11-(1.96*D11))</f>
        <v>0.48222785945032526</v>
      </c>
      <c r="F11">
        <f>EXP(C11+(1.96*D11))</f>
        <v>3.38577711218052</v>
      </c>
      <c r="H11">
        <v>0.48827680000000001</v>
      </c>
      <c r="I11">
        <v>3.3355269999999999</v>
      </c>
    </row>
    <row r="13" spans="1:9">
      <c r="B13" t="s">
        <v>163</v>
      </c>
      <c r="H13" t="s">
        <v>170</v>
      </c>
    </row>
    <row r="14" spans="1:9">
      <c r="B14" t="s">
        <v>164</v>
      </c>
      <c r="D14" s="10" t="s">
        <v>59</v>
      </c>
      <c r="E14" s="10" t="s">
        <v>165</v>
      </c>
      <c r="F14" s="10" t="s">
        <v>6</v>
      </c>
      <c r="I14" s="10" t="s">
        <v>6</v>
      </c>
    </row>
    <row r="15" spans="1:9">
      <c r="D15" s="10">
        <v>1</v>
      </c>
      <c r="E15" s="10">
        <v>0.24</v>
      </c>
      <c r="F15" s="10">
        <v>0.62170000000000003</v>
      </c>
      <c r="I15" s="10">
        <v>0.80549999999999999</v>
      </c>
    </row>
    <row r="19" spans="1:9">
      <c r="A19" t="s">
        <v>162</v>
      </c>
      <c r="C19">
        <v>3</v>
      </c>
      <c r="D19">
        <v>4</v>
      </c>
    </row>
    <row r="20" spans="1:9">
      <c r="C20">
        <v>5</v>
      </c>
      <c r="D20">
        <v>6</v>
      </c>
      <c r="H20" t="s">
        <v>160</v>
      </c>
      <c r="I20" t="s">
        <v>160</v>
      </c>
    </row>
    <row r="21" spans="1:9">
      <c r="E21" t="s">
        <v>158</v>
      </c>
      <c r="F21" t="s">
        <v>159</v>
      </c>
      <c r="H21" t="s">
        <v>158</v>
      </c>
      <c r="I21" t="s">
        <v>159</v>
      </c>
    </row>
    <row r="22" spans="1:9">
      <c r="B22" t="s">
        <v>29</v>
      </c>
      <c r="C22" t="s">
        <v>23</v>
      </c>
      <c r="D22" t="s">
        <v>31</v>
      </c>
      <c r="E22" t="s">
        <v>157</v>
      </c>
      <c r="F22" t="s">
        <v>157</v>
      </c>
      <c r="H22" t="s">
        <v>157</v>
      </c>
      <c r="I22" t="s">
        <v>157</v>
      </c>
    </row>
    <row r="23" spans="1:9">
      <c r="B23">
        <f>C19*D20/(D19*C20)</f>
        <v>0.9</v>
      </c>
      <c r="C23">
        <f>LN(B23)</f>
        <v>-0.10536051565782628</v>
      </c>
      <c r="D23">
        <f>SQRT((1/C19)+(1/D19)+(1/C20)+(1/D20))</f>
        <v>0.97467943448089633</v>
      </c>
      <c r="E23">
        <f>EXP(C23-(1.96*D23))</f>
        <v>0.1332228209309565</v>
      </c>
      <c r="F23">
        <f>EXP(C23+(1.96*D23))</f>
        <v>6.0800393982033105</v>
      </c>
      <c r="H23">
        <v>0.146097</v>
      </c>
      <c r="I23">
        <v>5.6479910000000002</v>
      </c>
    </row>
    <row r="25" spans="1:9">
      <c r="B25" t="s">
        <v>163</v>
      </c>
      <c r="H25" t="s">
        <v>170</v>
      </c>
    </row>
    <row r="26" spans="1:9">
      <c r="B26" t="s">
        <v>164</v>
      </c>
      <c r="D26" s="10" t="s">
        <v>59</v>
      </c>
      <c r="E26" s="10" t="s">
        <v>165</v>
      </c>
      <c r="F26" s="10" t="s">
        <v>6</v>
      </c>
      <c r="I26" s="10" t="s">
        <v>6</v>
      </c>
    </row>
    <row r="27" spans="1:9">
      <c r="D27" s="10">
        <v>1</v>
      </c>
      <c r="E27" s="10">
        <v>0.01</v>
      </c>
      <c r="F27" s="10">
        <v>0.91390000000000005</v>
      </c>
      <c r="I27" s="10">
        <v>1</v>
      </c>
    </row>
    <row r="30" spans="1:9">
      <c r="A30" t="s">
        <v>166</v>
      </c>
      <c r="C30">
        <v>1000</v>
      </c>
      <c r="D30">
        <v>4</v>
      </c>
    </row>
    <row r="31" spans="1:9">
      <c r="C31">
        <v>5</v>
      </c>
      <c r="D31">
        <v>6</v>
      </c>
      <c r="H31" t="s">
        <v>160</v>
      </c>
      <c r="I31" t="s">
        <v>160</v>
      </c>
    </row>
    <row r="32" spans="1:9">
      <c r="E32" t="s">
        <v>158</v>
      </c>
      <c r="F32" t="s">
        <v>159</v>
      </c>
      <c r="H32" t="s">
        <v>158</v>
      </c>
      <c r="I32" t="s">
        <v>159</v>
      </c>
    </row>
    <row r="33" spans="1:9">
      <c r="B33" t="s">
        <v>29</v>
      </c>
      <c r="C33" t="s">
        <v>23</v>
      </c>
      <c r="D33" t="s">
        <v>31</v>
      </c>
      <c r="E33" t="s">
        <v>157</v>
      </c>
      <c r="F33" t="s">
        <v>157</v>
      </c>
      <c r="H33" t="s">
        <v>157</v>
      </c>
      <c r="I33" t="s">
        <v>157</v>
      </c>
    </row>
    <row r="34" spans="1:9">
      <c r="B34">
        <f>C30*D31/(D30*C31)</f>
        <v>300</v>
      </c>
      <c r="C34">
        <f>LN(B34)</f>
        <v>5.7037824746562009</v>
      </c>
      <c r="D34">
        <f>SQRT((1/C30)+(1/D30)+(1/C31)+(1/D31))</f>
        <v>0.78591772258084791</v>
      </c>
      <c r="E34">
        <f>EXP(C34-(1.96*D34))</f>
        <v>64.288691084620638</v>
      </c>
      <c r="F34">
        <f>EXP(C34+(1.96*D34))</f>
        <v>1399.9351749367017</v>
      </c>
      <c r="H34">
        <v>68.404920000000004</v>
      </c>
      <c r="I34">
        <v>1337.21</v>
      </c>
    </row>
    <row r="36" spans="1:9">
      <c r="B36" t="s">
        <v>163</v>
      </c>
      <c r="H36" t="s">
        <v>170</v>
      </c>
    </row>
    <row r="37" spans="1:9">
      <c r="B37" t="s">
        <v>164</v>
      </c>
      <c r="D37" s="10" t="s">
        <v>59</v>
      </c>
      <c r="E37" s="10" t="s">
        <v>165</v>
      </c>
      <c r="F37" s="10" t="s">
        <v>6</v>
      </c>
      <c r="I37" s="10" t="s">
        <v>6</v>
      </c>
    </row>
    <row r="38" spans="1:9">
      <c r="D38" s="10">
        <v>1</v>
      </c>
      <c r="E38" s="10">
        <v>327.02</v>
      </c>
      <c r="F38" s="10">
        <v>0</v>
      </c>
      <c r="I38" s="10">
        <v>0</v>
      </c>
    </row>
    <row r="42" spans="1:9">
      <c r="A42" t="s">
        <v>168</v>
      </c>
      <c r="C42">
        <v>20</v>
      </c>
      <c r="D42">
        <v>1</v>
      </c>
    </row>
    <row r="43" spans="1:9">
      <c r="C43">
        <v>2</v>
      </c>
      <c r="D43">
        <v>6</v>
      </c>
      <c r="H43" t="s">
        <v>160</v>
      </c>
      <c r="I43" t="s">
        <v>160</v>
      </c>
    </row>
    <row r="44" spans="1:9">
      <c r="E44" t="s">
        <v>158</v>
      </c>
      <c r="F44" t="s">
        <v>159</v>
      </c>
      <c r="H44" t="s">
        <v>158</v>
      </c>
      <c r="I44" t="s">
        <v>159</v>
      </c>
    </row>
    <row r="45" spans="1:9">
      <c r="B45" t="s">
        <v>29</v>
      </c>
      <c r="C45" t="s">
        <v>23</v>
      </c>
      <c r="D45" t="s">
        <v>31</v>
      </c>
      <c r="E45" t="s">
        <v>157</v>
      </c>
      <c r="F45" t="s">
        <v>157</v>
      </c>
      <c r="H45" t="s">
        <v>157</v>
      </c>
      <c r="I45" t="s">
        <v>157</v>
      </c>
    </row>
    <row r="46" spans="1:9">
      <c r="B46">
        <f>C42*D43/(D42*C43)</f>
        <v>60</v>
      </c>
      <c r="C46">
        <f>LN(B46)</f>
        <v>4.0943445622221004</v>
      </c>
      <c r="D46">
        <f>SQRT((1/C42)+(1/D42)+(1/C43)+(1/D43))</f>
        <v>1.3102162671355697</v>
      </c>
      <c r="E46">
        <f>EXP(C46-(1.96*D46))</f>
        <v>4.6012162864210007</v>
      </c>
      <c r="F46">
        <f>EXP(C46+(1.96*D46))</f>
        <v>782.4018207151513</v>
      </c>
      <c r="H46">
        <v>5.5429279999999999</v>
      </c>
      <c r="I46" t="s">
        <v>167</v>
      </c>
    </row>
    <row r="48" spans="1:9">
      <c r="B48" t="s">
        <v>163</v>
      </c>
      <c r="H48" t="s">
        <v>170</v>
      </c>
    </row>
    <row r="49" spans="1:9">
      <c r="B49" t="s">
        <v>164</v>
      </c>
      <c r="D49" s="10" t="s">
        <v>59</v>
      </c>
      <c r="E49" s="10" t="s">
        <v>165</v>
      </c>
      <c r="F49" s="10" t="s">
        <v>6</v>
      </c>
      <c r="I49" s="10" t="s">
        <v>6</v>
      </c>
    </row>
    <row r="50" spans="1:9">
      <c r="D50" s="10">
        <v>1</v>
      </c>
      <c r="E50" s="10">
        <v>15.61</v>
      </c>
      <c r="F50" s="10">
        <v>1E-4</v>
      </c>
      <c r="I50" s="10">
        <v>4.0000000000000002E-4</v>
      </c>
    </row>
    <row r="53" spans="1:9">
      <c r="A53" t="s">
        <v>169</v>
      </c>
    </row>
    <row r="54" spans="1:9">
      <c r="C54">
        <v>42012</v>
      </c>
      <c r="D54">
        <v>7146</v>
      </c>
    </row>
    <row r="55" spans="1:9">
      <c r="C55">
        <v>17216</v>
      </c>
      <c r="D55">
        <v>2361</v>
      </c>
      <c r="H55" t="s">
        <v>160</v>
      </c>
      <c r="I55" t="s">
        <v>160</v>
      </c>
    </row>
    <row r="56" spans="1:9">
      <c r="E56" t="s">
        <v>158</v>
      </c>
      <c r="F56" t="s">
        <v>159</v>
      </c>
      <c r="H56" t="s">
        <v>158</v>
      </c>
      <c r="I56" t="s">
        <v>159</v>
      </c>
    </row>
    <row r="57" spans="1:9">
      <c r="B57" t="s">
        <v>29</v>
      </c>
      <c r="C57" t="s">
        <v>23</v>
      </c>
      <c r="D57" t="s">
        <v>31</v>
      </c>
      <c r="E57" t="s">
        <v>157</v>
      </c>
      <c r="F57" t="s">
        <v>157</v>
      </c>
      <c r="H57" t="s">
        <v>157</v>
      </c>
      <c r="I57" t="s">
        <v>157</v>
      </c>
    </row>
    <row r="58" spans="1:9">
      <c r="B58">
        <f>C54*D55/(D54*C55)</f>
        <v>0.80625807637204683</v>
      </c>
      <c r="C58">
        <f>LN(B58)</f>
        <v>-0.21535139371668721</v>
      </c>
      <c r="D58">
        <f>SQRT((1/C54)+(1/D54)+(1/C55)+(1/D55))</f>
        <v>2.5404251523728227E-2</v>
      </c>
      <c r="E58">
        <f>EXP(C58-(1.96*D58))</f>
        <v>0.76709568991784161</v>
      </c>
      <c r="F58">
        <f>EXP(C58+(1.96*D58))</f>
        <v>0.84741981249402665</v>
      </c>
      <c r="H58">
        <v>0.76709939999999999</v>
      </c>
      <c r="I58">
        <v>0.84741580000000005</v>
      </c>
    </row>
    <row r="60" spans="1:9">
      <c r="B60" t="s">
        <v>163</v>
      </c>
      <c r="H60" t="s">
        <v>170</v>
      </c>
    </row>
    <row r="61" spans="1:9">
      <c r="B61" t="s">
        <v>164</v>
      </c>
      <c r="D61" s="10" t="s">
        <v>59</v>
      </c>
      <c r="E61" s="10" t="s">
        <v>165</v>
      </c>
      <c r="F61" s="10" t="s">
        <v>6</v>
      </c>
      <c r="I61" s="10" t="s">
        <v>6</v>
      </c>
    </row>
    <row r="62" spans="1:9">
      <c r="D62" s="10">
        <v>1</v>
      </c>
      <c r="E62" s="10">
        <v>72.06</v>
      </c>
      <c r="F62" s="10">
        <v>0</v>
      </c>
      <c r="I62" s="10">
        <v>0</v>
      </c>
    </row>
  </sheetData>
  <phoneticPr fontId="4" type="noConversion"/>
  <pageMargins left="0.75" right="0.75" top="1" bottom="1" header="0.5" footer="0.5"/>
  <pageSetup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21</vt:i4>
      </vt:variant>
    </vt:vector>
  </HeadingPairs>
  <TitlesOfParts>
    <vt:vector size="21" baseType="lpstr">
      <vt:lpstr>class 1-frogs</vt:lpstr>
      <vt:lpstr>frogs LOR</vt:lpstr>
      <vt:lpstr>frogs goodness of fit</vt:lpstr>
      <vt:lpstr>poisson distribution</vt:lpstr>
      <vt:lpstr>Poisson Likelihood Fn</vt:lpstr>
      <vt:lpstr>Model selection Treiman china</vt:lpstr>
      <vt:lpstr>model selection 5x5 intermar</vt:lpstr>
      <vt:lpstr>model selection, ed intermar</vt:lpstr>
      <vt:lpstr>lin by lin assoc, ed intermar</vt:lpstr>
      <vt:lpstr>RC model ed intermar</vt:lpstr>
      <vt:lpstr>comparison group</vt:lpstr>
      <vt:lpstr>Coefficient interpretation, 1</vt:lpstr>
      <vt:lpstr>A few models for Qian's data</vt:lpstr>
      <vt:lpstr>3D ed interactions</vt:lpstr>
      <vt:lpstr>coef interp, 2 multivar model</vt:lpstr>
      <vt:lpstr>coef interp 3, by hand</vt:lpstr>
      <vt:lpstr>continuous and categorical</vt:lpstr>
      <vt:lpstr>clog+el models</vt:lpstr>
      <vt:lpstr>Death Penalty</vt:lpstr>
      <vt:lpstr>coef from saturated mod</vt:lpstr>
      <vt:lpstr>exact tests</vt:lpstr>
    </vt:vector>
  </TitlesOfParts>
  <Company>Stanford University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"Michael Rosenfeld" &lt;michael.rosenfeld@stanford.edu&gt;</dc:creator>
  <cp:lastModifiedBy>Michael Rosenfeld</cp:lastModifiedBy>
  <dcterms:created xsi:type="dcterms:W3CDTF">2001-09-26T18:28:19Z</dcterms:created>
  <dcterms:modified xsi:type="dcterms:W3CDTF">2019-02-05T19:41:34Z</dcterms:modified>
</cp:coreProperties>
</file>